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ml.chartshapes+xml"/>
  <Override PartName="/xl/comments1.xml" ContentType="application/vnd.openxmlformats-officedocument.spreadsheetml.comments+xml"/>
  <Override PartName="/xl/comments2.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defaultThemeVersion="166925"/>
  <mc:AlternateContent xmlns:mc="http://schemas.openxmlformats.org/markup-compatibility/2006">
    <mc:Choice Requires="x15">
      <x15ac:absPath xmlns:x15ac="http://schemas.microsoft.com/office/spreadsheetml/2010/11/ac" url="D:\PAO SDTH\IDIGER\PLAN DE ACCIÓN 2022\"/>
    </mc:Choice>
  </mc:AlternateContent>
  <xr:revisionPtr revIDLastSave="0" documentId="8_{6910158C-CE83-4DD9-9D17-646EA70E6AF6}" xr6:coauthVersionLast="47" xr6:coauthVersionMax="47" xr10:uidLastSave="{00000000-0000-0000-0000-000000000000}"/>
  <bookViews>
    <workbookView xWindow="-120" yWindow="-120" windowWidth="20730" windowHeight="11160" firstSheet="1" activeTab="1" xr2:uid="{00000000-000D-0000-FFFF-FFFF00000000}"/>
  </bookViews>
  <sheets>
    <sheet name="Plan Estratégico Institucio (2)" sheetId="7" state="hidden" r:id="rId1"/>
    <sheet name="Plan Estratégico  2022  FINAL" sheetId="22" r:id="rId2"/>
    <sheet name="Plan Estratégico  2022" sheetId="8" state="hidden" r:id="rId3"/>
    <sheet name="Hoja2" sheetId="5" state="hidden" r:id="rId4"/>
    <sheet name="Hoja1" sheetId="4" state="hidden" r:id="rId5"/>
    <sheet name="Plan Estratégico Institucional" sheetId="1" state="hidden" r:id="rId6"/>
    <sheet name="Hoja5" sheetId="11" state="hidden" r:id="rId7"/>
    <sheet name="OBJ ESTR" sheetId="2" state="hidden" r:id="rId8"/>
    <sheet name="Cumplimiento Metas Estrategicas" sheetId="20" r:id="rId9"/>
    <sheet name="Resumen de  informe" sheetId="24" r:id="rId10"/>
    <sheet name="Cumplimiento Metas Estrateg (2)" sheetId="23" r:id="rId11"/>
    <sheet name="Grado Cumplimiento Objetivos" sheetId="9" state="hidden" r:id="rId12"/>
    <sheet name="Hoja3" sheetId="12" state="hidden" r:id="rId13"/>
    <sheet name="Grado Cumplimiento Metas Estrat" sheetId="10" state="hidden" r:id="rId14"/>
    <sheet name="Hoja4" sheetId="21" state="hidden" r:id="rId15"/>
    <sheet name="Resumen PEI" sheetId="3" state="hidden" r:id="rId16"/>
  </sheets>
  <definedNames>
    <definedName name="_xlnm._FilterDatabase" localSheetId="2" hidden="1">'Plan Estratégico  2022'!$A$4:$BN$26</definedName>
    <definedName name="_xlnm._FilterDatabase" localSheetId="1" hidden="1">'Plan Estratégico  2022  FINAL'!$A$4:$BN$23</definedName>
    <definedName name="_xlnm._FilterDatabase" localSheetId="0" hidden="1">'Plan Estratégico Institucio (2)'!$A$5:$AX$27</definedName>
    <definedName name="_xlnm._FilterDatabase" localSheetId="5" hidden="1">'Plan Estratégico Institucional'!$A$5:$BO$24</definedName>
    <definedName name="_xlnm._FilterDatabase" localSheetId="15" hidden="1">'Resumen PEI'!$A$5:$BC$27</definedName>
    <definedName name="_xlnm.Print_Titles" localSheetId="15">'Resumen PEI'!$1:$7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5" i="20" l="1"/>
  <c r="B8" i="20" l="1"/>
  <c r="O20" i="20"/>
  <c r="O19" i="20"/>
  <c r="M18" i="20"/>
  <c r="M15" i="20"/>
  <c r="N15" i="20"/>
  <c r="L14" i="20"/>
  <c r="N18" i="20" s="1"/>
  <c r="O18" i="20" s="1"/>
  <c r="Z17" i="22"/>
  <c r="X17" i="22"/>
  <c r="V17" i="22"/>
  <c r="L13" i="20"/>
  <c r="N13" i="20" s="1"/>
  <c r="K13" i="20"/>
  <c r="V5" i="20"/>
  <c r="W5" i="20" s="1"/>
  <c r="O13" i="20" l="1"/>
  <c r="L4" i="20" l="1"/>
  <c r="O4" i="20" s="1"/>
  <c r="K4" i="20"/>
  <c r="V4" i="20" s="1"/>
  <c r="W4" i="20" s="1"/>
  <c r="BO23" i="22"/>
  <c r="M4" i="20" l="1"/>
  <c r="N4" i="20"/>
  <c r="BO21" i="22" l="1"/>
  <c r="AW17" i="22" l="1"/>
  <c r="AU17" i="22"/>
  <c r="AS17" i="22"/>
  <c r="AO17" i="22"/>
  <c r="AR17" i="22"/>
  <c r="AM17" i="22"/>
  <c r="AK17" i="22"/>
  <c r="AQ17" i="22" s="1"/>
  <c r="AI17" i="22"/>
  <c r="AG17" i="22"/>
  <c r="AJ17" i="22"/>
  <c r="AE17" i="22"/>
  <c r="AC17" i="22"/>
  <c r="Y17" i="22"/>
  <c r="W17" i="22"/>
  <c r="U17" i="22"/>
  <c r="AW16" i="22"/>
  <c r="AZ16" i="22"/>
  <c r="AU16" i="22"/>
  <c r="AS16" i="22"/>
  <c r="AO16" i="22"/>
  <c r="AM16" i="22"/>
  <c r="AK16" i="22"/>
  <c r="AG16" i="22"/>
  <c r="AJ16" i="22"/>
  <c r="AE16" i="22"/>
  <c r="AI16" i="22" s="1"/>
  <c r="AC16" i="22"/>
  <c r="Z16" i="22"/>
  <c r="Y16" i="22"/>
  <c r="X16" i="22"/>
  <c r="W16" i="22"/>
  <c r="V16" i="22"/>
  <c r="U16" i="22"/>
  <c r="AA16" i="22" l="1"/>
  <c r="AQ16" i="22"/>
  <c r="AY16" i="22"/>
  <c r="AA17" i="22"/>
  <c r="BG17" i="22" s="1"/>
  <c r="AY17" i="22"/>
  <c r="AB16" i="22"/>
  <c r="AR16" i="22"/>
  <c r="BH16" i="22" s="1"/>
  <c r="AB17" i="22"/>
  <c r="BK17" i="22" s="1"/>
  <c r="AZ17" i="22"/>
  <c r="BI16" i="22"/>
  <c r="BJ16" i="22"/>
  <c r="AR7" i="22"/>
  <c r="AE7" i="22"/>
  <c r="AJ7" i="22"/>
  <c r="AB7" i="22"/>
  <c r="Z7" i="22"/>
  <c r="X7" i="22"/>
  <c r="V7" i="22"/>
  <c r="Z23" i="22"/>
  <c r="AB23" i="22" s="1"/>
  <c r="X23" i="22"/>
  <c r="V23" i="22"/>
  <c r="Z18" i="22"/>
  <c r="AB18" i="22" s="1"/>
  <c r="X18" i="22"/>
  <c r="AZ18" i="22"/>
  <c r="AW18" i="22"/>
  <c r="AU18" i="22"/>
  <c r="AS18" i="22"/>
  <c r="AR18" i="22"/>
  <c r="AO18" i="22"/>
  <c r="AM18" i="22"/>
  <c r="AK18" i="22"/>
  <c r="AJ18" i="22"/>
  <c r="AG18" i="22"/>
  <c r="AE18" i="22"/>
  <c r="AC18" i="22"/>
  <c r="Y18" i="22"/>
  <c r="W18" i="22"/>
  <c r="U18" i="22"/>
  <c r="AZ9" i="22"/>
  <c r="AW9" i="22"/>
  <c r="AU9" i="22"/>
  <c r="AS9" i="22"/>
  <c r="AR9" i="22"/>
  <c r="AO9" i="22"/>
  <c r="AM9" i="22"/>
  <c r="AK9" i="22"/>
  <c r="AJ9" i="22"/>
  <c r="AG9" i="22"/>
  <c r="AE9" i="22"/>
  <c r="AC9" i="22"/>
  <c r="Z9" i="22"/>
  <c r="Y9" i="22"/>
  <c r="X9" i="22"/>
  <c r="W9" i="22"/>
  <c r="V9" i="22"/>
  <c r="AB9" i="22" s="1"/>
  <c r="U9" i="22"/>
  <c r="AA9" i="22" s="1"/>
  <c r="AJ11" i="22"/>
  <c r="AI11" i="22"/>
  <c r="Z8" i="22"/>
  <c r="X8" i="22"/>
  <c r="V8" i="22"/>
  <c r="AB8" i="22" s="1"/>
  <c r="AZ8" i="22"/>
  <c r="AW8" i="22"/>
  <c r="AU8" i="22"/>
  <c r="AS8" i="22"/>
  <c r="AR8" i="22"/>
  <c r="AO8" i="22"/>
  <c r="AM8" i="22"/>
  <c r="AK8" i="22"/>
  <c r="AJ8" i="22"/>
  <c r="AG8" i="22"/>
  <c r="AE8" i="22"/>
  <c r="AC8" i="22"/>
  <c r="Y8" i="22"/>
  <c r="W8" i="22"/>
  <c r="U8" i="22"/>
  <c r="AA8" i="22" s="1"/>
  <c r="AW7" i="22"/>
  <c r="AU7" i="22"/>
  <c r="AS7" i="22"/>
  <c r="AY7" i="22" s="1"/>
  <c r="AO7" i="22"/>
  <c r="AM7" i="22"/>
  <c r="AK7" i="22"/>
  <c r="AQ7" i="22" s="1"/>
  <c r="AG7" i="22"/>
  <c r="AC7" i="22"/>
  <c r="Y7" i="22"/>
  <c r="W7" i="22"/>
  <c r="U7" i="22"/>
  <c r="AZ23" i="22"/>
  <c r="AW23" i="22"/>
  <c r="AU23" i="22"/>
  <c r="AS23" i="22"/>
  <c r="AR23" i="22"/>
  <c r="AO23" i="22"/>
  <c r="AM23" i="22"/>
  <c r="AK23" i="22"/>
  <c r="AJ23" i="22"/>
  <c r="AG23" i="22"/>
  <c r="AE23" i="22"/>
  <c r="AC23" i="22"/>
  <c r="Y23" i="22"/>
  <c r="W23" i="22"/>
  <c r="U23" i="22"/>
  <c r="AZ22" i="22"/>
  <c r="AY22" i="22"/>
  <c r="AR22" i="22"/>
  <c r="AQ22" i="22"/>
  <c r="AJ22" i="22"/>
  <c r="AI22" i="22"/>
  <c r="AB22" i="22"/>
  <c r="BL22" i="22" s="1"/>
  <c r="AA22" i="22"/>
  <c r="AZ21" i="22"/>
  <c r="AY21" i="22"/>
  <c r="AR21" i="22"/>
  <c r="AQ21" i="22"/>
  <c r="AJ21" i="22"/>
  <c r="AI21" i="22"/>
  <c r="AB21" i="22"/>
  <c r="BK21" i="22" s="1"/>
  <c r="AA21" i="22"/>
  <c r="AZ20" i="22"/>
  <c r="AY20" i="22"/>
  <c r="AR20" i="22"/>
  <c r="AQ20" i="22"/>
  <c r="AJ20" i="22"/>
  <c r="AI20" i="22"/>
  <c r="AB20" i="22"/>
  <c r="AA20" i="22"/>
  <c r="AZ19" i="22"/>
  <c r="AY19" i="22"/>
  <c r="AR19" i="22"/>
  <c r="AQ19" i="22"/>
  <c r="AJ19" i="22"/>
  <c r="AI19" i="22"/>
  <c r="AB19" i="22"/>
  <c r="AA19" i="22"/>
  <c r="AZ15" i="22"/>
  <c r="AY15" i="22"/>
  <c r="AR15" i="22"/>
  <c r="AO15" i="22"/>
  <c r="AQ15" i="22" s="1"/>
  <c r="BG15" i="22" s="1"/>
  <c r="AJ15" i="22"/>
  <c r="AB15" i="22"/>
  <c r="AZ14" i="22"/>
  <c r="AY14" i="22"/>
  <c r="AR14" i="22"/>
  <c r="AQ14" i="22"/>
  <c r="AJ14" i="22"/>
  <c r="AI14" i="22"/>
  <c r="AB14" i="22"/>
  <c r="AA14" i="22"/>
  <c r="BM13" i="22"/>
  <c r="BL13" i="22"/>
  <c r="BK13" i="22"/>
  <c r="BJ13" i="22"/>
  <c r="BI13" i="22"/>
  <c r="AB12" i="22"/>
  <c r="AA12" i="22"/>
  <c r="BG12" i="22" s="1"/>
  <c r="AB11" i="22"/>
  <c r="BH11" i="22" s="1"/>
  <c r="BM11" i="22" s="1"/>
  <c r="L8" i="20" s="1"/>
  <c r="AA11" i="22"/>
  <c r="BG11" i="22" s="1"/>
  <c r="BM10" i="22"/>
  <c r="BL10" i="22"/>
  <c r="BK10" i="22"/>
  <c r="BJ10" i="22"/>
  <c r="BI10" i="22"/>
  <c r="BG24" i="8"/>
  <c r="AZ24" i="8"/>
  <c r="AY24" i="8"/>
  <c r="AR24" i="8"/>
  <c r="AQ24" i="8"/>
  <c r="AJ24" i="8"/>
  <c r="AI24" i="8"/>
  <c r="AB24" i="8"/>
  <c r="BC24" i="8" s="1"/>
  <c r="AA24" i="8"/>
  <c r="BA24" i="8" s="1"/>
  <c r="AZ7" i="8"/>
  <c r="AW7" i="8"/>
  <c r="AU7" i="8"/>
  <c r="AS7" i="8"/>
  <c r="AR7" i="8"/>
  <c r="AO7" i="8"/>
  <c r="AM7" i="8"/>
  <c r="AK7" i="8"/>
  <c r="AJ7" i="8"/>
  <c r="AG7" i="8"/>
  <c r="AE7" i="8"/>
  <c r="AC7" i="8"/>
  <c r="AB7" i="8"/>
  <c r="Y7" i="8"/>
  <c r="W7" i="8"/>
  <c r="U7" i="8"/>
  <c r="W17" i="8"/>
  <c r="AZ15" i="8"/>
  <c r="AW15" i="8"/>
  <c r="AY15" i="8" s="1"/>
  <c r="AZ14" i="8"/>
  <c r="AY14" i="8"/>
  <c r="AR15" i="8"/>
  <c r="AO15" i="8"/>
  <c r="AQ15" i="8" s="1"/>
  <c r="AR14" i="8"/>
  <c r="AQ14" i="8"/>
  <c r="AJ15" i="8"/>
  <c r="AG15" i="8"/>
  <c r="AI15" i="8" s="1"/>
  <c r="AJ14" i="8"/>
  <c r="AI14" i="8"/>
  <c r="AB15" i="8"/>
  <c r="BH15" i="8" s="1"/>
  <c r="AB14" i="8"/>
  <c r="BH14" i="8" s="1"/>
  <c r="AA14" i="8"/>
  <c r="Y15" i="8"/>
  <c r="AA15" i="8" s="1"/>
  <c r="BH17" i="22" l="1"/>
  <c r="BM17" i="22" s="1"/>
  <c r="BK16" i="22"/>
  <c r="BL16" i="22"/>
  <c r="BM16" i="22"/>
  <c r="BK12" i="22"/>
  <c r="BL14" i="22"/>
  <c r="BH18" i="22"/>
  <c r="BL17" i="22"/>
  <c r="BG21" i="22"/>
  <c r="BG22" i="22"/>
  <c r="AI23" i="22"/>
  <c r="AY23" i="22"/>
  <c r="AA7" i="22"/>
  <c r="BG7" i="22" s="1"/>
  <c r="AI7" i="22"/>
  <c r="AI8" i="22"/>
  <c r="AQ8" i="22"/>
  <c r="BK8" i="22" s="1"/>
  <c r="AI9" i="22"/>
  <c r="BL9" i="22" s="1"/>
  <c r="AQ9" i="22"/>
  <c r="AY9" i="22"/>
  <c r="AQ18" i="22"/>
  <c r="AY18" i="22"/>
  <c r="BJ17" i="22"/>
  <c r="BI17" i="22"/>
  <c r="AA18" i="22"/>
  <c r="BI18" i="22" s="1"/>
  <c r="BO18" i="22" s="1"/>
  <c r="AI18" i="22"/>
  <c r="BG16" i="22"/>
  <c r="AZ7" i="22"/>
  <c r="BH7" i="22" s="1"/>
  <c r="BM7" i="22" s="1"/>
  <c r="BI9" i="22"/>
  <c r="BH9" i="22"/>
  <c r="BJ9" i="22"/>
  <c r="AY8" i="22"/>
  <c r="BG8" i="22" s="1"/>
  <c r="BJ14" i="22"/>
  <c r="AA15" i="22"/>
  <c r="BG20" i="22"/>
  <c r="BH21" i="22"/>
  <c r="AQ23" i="22"/>
  <c r="BH12" i="22"/>
  <c r="BM12" i="22" s="1"/>
  <c r="L9" i="20" s="1"/>
  <c r="N5" i="20" s="1"/>
  <c r="BG14" i="22"/>
  <c r="BI14" i="22"/>
  <c r="BO14" i="22" s="1"/>
  <c r="BK20" i="22"/>
  <c r="AA23" i="22"/>
  <c r="BJ23" i="22" s="1"/>
  <c r="BI8" i="22"/>
  <c r="BJ8" i="22"/>
  <c r="BH8" i="22"/>
  <c r="BJ11" i="22"/>
  <c r="BI11" i="22"/>
  <c r="BL11" i="22"/>
  <c r="BG19" i="22"/>
  <c r="BK19" i="22"/>
  <c r="BK11" i="22"/>
  <c r="BJ12" i="22"/>
  <c r="BI12" i="22"/>
  <c r="BL12" i="22"/>
  <c r="K9" i="20" s="1"/>
  <c r="AI15" i="22"/>
  <c r="BK15" i="22" s="1"/>
  <c r="BJ19" i="22"/>
  <c r="BG23" i="22"/>
  <c r="BH20" i="22"/>
  <c r="BL20" i="22"/>
  <c r="BD21" i="22"/>
  <c r="BL21" i="22"/>
  <c r="BH22" i="22"/>
  <c r="BM22" i="22" s="1"/>
  <c r="BH19" i="22"/>
  <c r="BM19" i="22" s="1"/>
  <c r="BL19" i="22"/>
  <c r="BA21" i="22"/>
  <c r="BE21" i="22"/>
  <c r="BI21" i="22"/>
  <c r="BH23" i="22"/>
  <c r="BK14" i="22"/>
  <c r="BJ20" i="22"/>
  <c r="BB21" i="22"/>
  <c r="BF21" i="22"/>
  <c r="BJ21" i="22"/>
  <c r="BH14" i="22"/>
  <c r="BH15" i="22"/>
  <c r="BC21" i="22"/>
  <c r="BL24" i="8"/>
  <c r="BK24" i="8"/>
  <c r="BJ24" i="8"/>
  <c r="BH24" i="8"/>
  <c r="BM24" i="8" s="1"/>
  <c r="BI24" i="8"/>
  <c r="BD24" i="8"/>
  <c r="BE24" i="8"/>
  <c r="BF24" i="8"/>
  <c r="BB24" i="8"/>
  <c r="AA7" i="8"/>
  <c r="BG15" i="8"/>
  <c r="BI14" i="8"/>
  <c r="AI7" i="8"/>
  <c r="BG7" i="8" s="1"/>
  <c r="BI7" i="8"/>
  <c r="AQ7" i="8"/>
  <c r="BL7" i="8" s="1"/>
  <c r="AY7" i="8"/>
  <c r="BJ7" i="8"/>
  <c r="BH7" i="8"/>
  <c r="BG14" i="8"/>
  <c r="BO16" i="22" l="1"/>
  <c r="K14" i="20"/>
  <c r="M13" i="20" s="1"/>
  <c r="O5" i="20"/>
  <c r="BK7" i="22"/>
  <c r="BJ7" i="22"/>
  <c r="BG18" i="22"/>
  <c r="BJ18" i="22"/>
  <c r="BM18" i="22"/>
  <c r="BI7" i="22"/>
  <c r="BO7" i="22" s="1"/>
  <c r="BO8" i="22"/>
  <c r="BM21" i="22"/>
  <c r="BK9" i="22"/>
  <c r="BK18" i="22"/>
  <c r="BM14" i="22"/>
  <c r="K11" i="20"/>
  <c r="M5" i="20" s="1"/>
  <c r="BL7" i="22"/>
  <c r="BG9" i="22"/>
  <c r="BM9" i="22" s="1"/>
  <c r="BL18" i="22"/>
  <c r="BI23" i="22"/>
  <c r="BK23" i="22"/>
  <c r="BL8" i="22"/>
  <c r="BL23" i="22"/>
  <c r="BM20" i="22"/>
  <c r="BM8" i="22"/>
  <c r="BM15" i="22"/>
  <c r="BM23" i="22"/>
  <c r="BM7" i="8"/>
  <c r="BK7" i="8"/>
  <c r="BG13" i="1"/>
  <c r="AA12" i="8"/>
  <c r="BG12" i="8" s="1"/>
  <c r="AB12" i="8"/>
  <c r="AB11" i="8" l="1"/>
  <c r="W11" i="8"/>
  <c r="U11" i="8" l="1"/>
  <c r="AA11" i="8" s="1"/>
  <c r="BG11" i="8" s="1"/>
  <c r="BL15" i="8" l="1"/>
  <c r="BK15" i="8"/>
  <c r="BJ15" i="8"/>
  <c r="BI15" i="8"/>
  <c r="BL14" i="8"/>
  <c r="BK14" i="8"/>
  <c r="BJ14" i="8"/>
  <c r="BL13" i="8"/>
  <c r="BK13" i="8"/>
  <c r="BJ13" i="8"/>
  <c r="BI13" i="8"/>
  <c r="BL12" i="8"/>
  <c r="BK12" i="8"/>
  <c r="BJ12" i="8"/>
  <c r="BI12" i="8"/>
  <c r="BL11" i="8"/>
  <c r="BK11" i="8"/>
  <c r="BJ11" i="8"/>
  <c r="BI11" i="8"/>
  <c r="BL10" i="8"/>
  <c r="BK10" i="8"/>
  <c r="BJ10" i="8"/>
  <c r="BI10" i="8"/>
  <c r="BM11" i="8"/>
  <c r="BM10" i="8"/>
  <c r="BM13" i="8"/>
  <c r="BM12" i="8"/>
  <c r="BM14" i="8"/>
  <c r="BM15" i="8"/>
  <c r="AZ23" i="8" l="1"/>
  <c r="AY23" i="8"/>
  <c r="AI23" i="8"/>
  <c r="AQ23" i="8"/>
  <c r="AR23" i="8"/>
  <c r="AJ23" i="8"/>
  <c r="AA23" i="8" l="1"/>
  <c r="BG23" i="8" s="1"/>
  <c r="AB23" i="8"/>
  <c r="BI23" i="8" l="1"/>
  <c r="BK23" i="8"/>
  <c r="BH23" i="8"/>
  <c r="BM23" i="8" s="1"/>
  <c r="BL23" i="8"/>
  <c r="BJ23" i="8"/>
  <c r="AZ20" i="8"/>
  <c r="AW20" i="8"/>
  <c r="AU20" i="8"/>
  <c r="AS20" i="8"/>
  <c r="AR20" i="8"/>
  <c r="AO20" i="8"/>
  <c r="AM20" i="8"/>
  <c r="AK20" i="8"/>
  <c r="AJ20" i="8"/>
  <c r="AG20" i="8"/>
  <c r="AE20" i="8"/>
  <c r="AC20" i="8"/>
  <c r="AB20" i="8"/>
  <c r="Y20" i="8"/>
  <c r="W20" i="8"/>
  <c r="U20" i="8"/>
  <c r="AA20" i="8" l="1"/>
  <c r="AQ20" i="8"/>
  <c r="AY20" i="8"/>
  <c r="AI20" i="8"/>
  <c r="BH20" i="8"/>
  <c r="BL20" i="8" l="1"/>
  <c r="BG20" i="8"/>
  <c r="BI20" i="8"/>
  <c r="BJ20" i="8"/>
  <c r="BK20" i="8"/>
  <c r="BM20" i="8"/>
  <c r="AZ19" i="8" l="1"/>
  <c r="AW19" i="8"/>
  <c r="AU19" i="8"/>
  <c r="AS19" i="8"/>
  <c r="AR19" i="8"/>
  <c r="AO19" i="8"/>
  <c r="AM19" i="8"/>
  <c r="AK19" i="8"/>
  <c r="AJ19" i="8"/>
  <c r="AG19" i="8"/>
  <c r="AE19" i="8"/>
  <c r="AC19" i="8"/>
  <c r="AB19" i="8"/>
  <c r="Y19" i="8"/>
  <c r="W19" i="8"/>
  <c r="U19" i="8"/>
  <c r="AY19" i="8" l="1"/>
  <c r="AA19" i="8"/>
  <c r="AI19" i="8"/>
  <c r="BJ19" i="8" s="1"/>
  <c r="AQ19" i="8"/>
  <c r="BH19" i="8"/>
  <c r="BL19" i="8" l="1"/>
  <c r="BI19" i="8"/>
  <c r="BK19" i="8"/>
  <c r="BG19" i="8"/>
  <c r="AZ18" i="8" l="1"/>
  <c r="AW18" i="8"/>
  <c r="AU18" i="8"/>
  <c r="AS18" i="8"/>
  <c r="AR18" i="8"/>
  <c r="AO18" i="8"/>
  <c r="AM18" i="8"/>
  <c r="AK18" i="8"/>
  <c r="AJ18" i="8"/>
  <c r="AG18" i="8"/>
  <c r="AE18" i="8"/>
  <c r="AC18" i="8"/>
  <c r="AB18" i="8"/>
  <c r="Y18" i="8"/>
  <c r="W18" i="8"/>
  <c r="U18" i="8"/>
  <c r="AY18" i="8" l="1"/>
  <c r="AA18" i="8"/>
  <c r="AI18" i="8"/>
  <c r="BK18" i="8" s="1"/>
  <c r="AQ18" i="8"/>
  <c r="BH18" i="8"/>
  <c r="BL18" i="8" l="1"/>
  <c r="BJ18" i="8"/>
  <c r="BI18" i="8"/>
  <c r="BG18" i="8"/>
  <c r="AZ17" i="8"/>
  <c r="AW17" i="8"/>
  <c r="AU17" i="8"/>
  <c r="AS17" i="8"/>
  <c r="AR17" i="8"/>
  <c r="AO17" i="8"/>
  <c r="AM17" i="8"/>
  <c r="AK17" i="8"/>
  <c r="AJ17" i="8"/>
  <c r="AG17" i="8"/>
  <c r="AE17" i="8"/>
  <c r="AC17" i="8"/>
  <c r="AB17" i="8"/>
  <c r="Y17" i="8"/>
  <c r="U17" i="8"/>
  <c r="AY17" i="8" l="1"/>
  <c r="AA17" i="8"/>
  <c r="AQ17" i="8"/>
  <c r="AI17" i="8"/>
  <c r="BH17" i="8"/>
  <c r="BL17" i="8" l="1"/>
  <c r="BI17" i="8"/>
  <c r="BG17" i="8"/>
  <c r="BM17" i="8" s="1"/>
  <c r="BJ17" i="8"/>
  <c r="BK17" i="8"/>
  <c r="AW8" i="8"/>
  <c r="AZ8" i="8"/>
  <c r="AU8" i="8"/>
  <c r="AS8" i="8"/>
  <c r="AR8" i="8"/>
  <c r="AO8" i="8"/>
  <c r="AM8" i="8"/>
  <c r="AK8" i="8"/>
  <c r="AJ8" i="8"/>
  <c r="AI8" i="8"/>
  <c r="AB8" i="8"/>
  <c r="AA8" i="8"/>
  <c r="AZ9" i="8"/>
  <c r="AR9" i="8"/>
  <c r="AJ9" i="8"/>
  <c r="AB9" i="8"/>
  <c r="AW9" i="8"/>
  <c r="AU9" i="8"/>
  <c r="AS9" i="8"/>
  <c r="AO9" i="8"/>
  <c r="AM9" i="8"/>
  <c r="AK9" i="8"/>
  <c r="AG9" i="8"/>
  <c r="AE9" i="8"/>
  <c r="AC9" i="8"/>
  <c r="Y9" i="8"/>
  <c r="AA9" i="8" s="1"/>
  <c r="BJ8" i="8" l="1"/>
  <c r="BI8" i="8"/>
  <c r="AI9" i="8"/>
  <c r="BJ9" i="8" s="1"/>
  <c r="BK9" i="8"/>
  <c r="BI9" i="8"/>
  <c r="BH9" i="8"/>
  <c r="AY9" i="8"/>
  <c r="BL9" i="8" s="1"/>
  <c r="AY8" i="8"/>
  <c r="AQ9" i="8"/>
  <c r="BH8" i="8"/>
  <c r="AQ8" i="8"/>
  <c r="BK8" i="8" s="1"/>
  <c r="BL8" i="8" l="1"/>
  <c r="BG9" i="8"/>
  <c r="BM9" i="8" s="1"/>
  <c r="BG8" i="8"/>
  <c r="BM8" i="8" s="1"/>
  <c r="BG23" i="1" l="1"/>
  <c r="BF23" i="1"/>
  <c r="AX23" i="1" l="1"/>
  <c r="Z9" i="1" l="1"/>
  <c r="AW24" i="1" l="1"/>
  <c r="AV24" i="1"/>
  <c r="AU24" i="1"/>
  <c r="AT24" i="1"/>
  <c r="AS24" i="1"/>
  <c r="AR24" i="1"/>
  <c r="AV17" i="1" l="1"/>
  <c r="AT17" i="1"/>
  <c r="AS17" i="1"/>
  <c r="AY17" i="1" s="1"/>
  <c r="AR17" i="1"/>
  <c r="AX17" i="1" s="1"/>
  <c r="AW14" i="1"/>
  <c r="AV14" i="1"/>
  <c r="AU14" i="1"/>
  <c r="AY14" i="1" s="1"/>
  <c r="AT14" i="1"/>
  <c r="AX14" i="1" s="1"/>
  <c r="AS14" i="1"/>
  <c r="AR14" i="1"/>
  <c r="AX13" i="1"/>
  <c r="AY13" i="1"/>
  <c r="AX15" i="1"/>
  <c r="AY15" i="1"/>
  <c r="AX16" i="1"/>
  <c r="AY16" i="1"/>
  <c r="AX18" i="1"/>
  <c r="AY18" i="1"/>
  <c r="AX19" i="1"/>
  <c r="AY19" i="1"/>
  <c r="AX20" i="1"/>
  <c r="AY20" i="1"/>
  <c r="AX21" i="1"/>
  <c r="AY21" i="1"/>
  <c r="AX22" i="1"/>
  <c r="AY22" i="1"/>
  <c r="AY23" i="1"/>
  <c r="AX24" i="1"/>
  <c r="AY24" i="1"/>
  <c r="AY12" i="1"/>
  <c r="AX12" i="1"/>
  <c r="AY11" i="1"/>
  <c r="AR11" i="1"/>
  <c r="AX11" i="1" s="1"/>
  <c r="AW10" i="1"/>
  <c r="AS10" i="1"/>
  <c r="AW9" i="1"/>
  <c r="AU9" i="1"/>
  <c r="AT9" i="1"/>
  <c r="AW8" i="1"/>
  <c r="AU8" i="1"/>
  <c r="AS8" i="1"/>
  <c r="AQ22" i="1"/>
  <c r="AP22" i="1"/>
  <c r="AI22" i="1"/>
  <c r="AH22" i="1"/>
  <c r="AA22" i="1"/>
  <c r="Z22" i="1"/>
  <c r="BH22" i="1" l="1"/>
  <c r="BK22" i="1"/>
  <c r="BJ22" i="1"/>
  <c r="BG22" i="1"/>
  <c r="BF22" i="1"/>
  <c r="AZ22" i="1"/>
  <c r="BA22" i="1"/>
  <c r="BI22" i="1" s="1"/>
  <c r="BL22" i="1" l="1"/>
  <c r="BN22" i="1" s="1"/>
  <c r="BB22" i="1"/>
  <c r="BD22" i="1" s="1"/>
  <c r="BC22" i="1"/>
  <c r="BE22" i="1" s="1"/>
  <c r="K4" i="10" l="1"/>
  <c r="J5" i="10"/>
  <c r="I15" i="10"/>
  <c r="I12" i="10"/>
  <c r="I16" i="12" l="1"/>
  <c r="I13" i="12"/>
  <c r="P19" i="12"/>
  <c r="P16" i="12"/>
  <c r="P8" i="12"/>
  <c r="P5" i="12"/>
  <c r="N5" i="12"/>
  <c r="N8" i="12"/>
  <c r="N16" i="12"/>
  <c r="N19" i="12"/>
  <c r="N25" i="12"/>
  <c r="N22" i="12"/>
  <c r="AO11" i="1" l="1"/>
  <c r="AM11" i="1"/>
  <c r="AL11" i="1"/>
  <c r="AK11" i="1"/>
  <c r="I13" i="11"/>
  <c r="I8" i="11"/>
  <c r="AU10" i="1" l="1"/>
  <c r="AO10" i="1"/>
  <c r="AM10" i="1"/>
  <c r="AK10" i="1"/>
  <c r="BD8" i="1"/>
  <c r="BB8" i="1"/>
  <c r="AZ8" i="1"/>
  <c r="AY8" i="1"/>
  <c r="AV8" i="1"/>
  <c r="AT8" i="1"/>
  <c r="AR8" i="1"/>
  <c r="AO8" i="1"/>
  <c r="AN8" i="1"/>
  <c r="AM8" i="1"/>
  <c r="AL8" i="1"/>
  <c r="AK8" i="1"/>
  <c r="AQ8" i="1" s="1"/>
  <c r="AJ8" i="1"/>
  <c r="AG8" i="1"/>
  <c r="AF8" i="1"/>
  <c r="AE8" i="1"/>
  <c r="AD8" i="1"/>
  <c r="AC8" i="1"/>
  <c r="AB8" i="1"/>
  <c r="Y8" i="1"/>
  <c r="X8" i="1"/>
  <c r="W8" i="1"/>
  <c r="V8" i="1"/>
  <c r="U8" i="1"/>
  <c r="T8" i="1"/>
  <c r="AH8" i="1" l="1"/>
  <c r="Z8" i="1"/>
  <c r="AP8" i="1"/>
  <c r="AI8" i="1"/>
  <c r="AX8" i="1"/>
  <c r="AA8" i="1"/>
  <c r="BF8" i="1" l="1"/>
  <c r="BG8" i="1"/>
  <c r="AO14" i="1"/>
  <c r="AM14" i="1"/>
  <c r="AK14" i="1"/>
  <c r="AO24" i="1"/>
  <c r="AM24" i="1"/>
  <c r="AK24" i="1"/>
  <c r="AQ19" i="1"/>
  <c r="Z19" i="1"/>
  <c r="AP19" i="1"/>
  <c r="AI19" i="1"/>
  <c r="AH19" i="1"/>
  <c r="AA19" i="1"/>
  <c r="AO17" i="1"/>
  <c r="AM17" i="1"/>
  <c r="AK17" i="1"/>
  <c r="BF19" i="1" l="1"/>
  <c r="BH19" i="1"/>
  <c r="BG19" i="1"/>
  <c r="BK19" i="1"/>
  <c r="AZ26" i="8"/>
  <c r="AW26" i="8"/>
  <c r="AU26" i="8"/>
  <c r="AS26" i="8"/>
  <c r="AR26" i="8"/>
  <c r="AO26" i="8"/>
  <c r="AM26" i="8"/>
  <c r="AK26" i="8"/>
  <c r="AG26" i="8"/>
  <c r="AE26" i="8"/>
  <c r="AC26" i="8"/>
  <c r="Y26" i="8"/>
  <c r="W26" i="8"/>
  <c r="U26" i="8"/>
  <c r="AZ25" i="8"/>
  <c r="AR25" i="8"/>
  <c r="AJ25" i="8"/>
  <c r="AI25" i="8"/>
  <c r="AB25" i="8"/>
  <c r="AA25" i="8"/>
  <c r="AZ22" i="8"/>
  <c r="AY22" i="8"/>
  <c r="AR22" i="8"/>
  <c r="AQ22" i="8"/>
  <c r="AJ22" i="8"/>
  <c r="AI22" i="8"/>
  <c r="AB22" i="8"/>
  <c r="AA22" i="8"/>
  <c r="AZ21" i="8"/>
  <c r="AY21" i="8"/>
  <c r="AR21" i="8"/>
  <c r="AQ21" i="8"/>
  <c r="AJ21" i="8"/>
  <c r="AI21" i="8"/>
  <c r="AB21" i="8"/>
  <c r="AA21" i="8"/>
  <c r="AZ16" i="8"/>
  <c r="AY16" i="8"/>
  <c r="AR16" i="8"/>
  <c r="AQ16" i="8"/>
  <c r="AJ16" i="8"/>
  <c r="AI16" i="8"/>
  <c r="AB16" i="8"/>
  <c r="AA16" i="8"/>
  <c r="AG17" i="1"/>
  <c r="AE17" i="1"/>
  <c r="W17" i="1"/>
  <c r="U17" i="1"/>
  <c r="AQ12" i="1"/>
  <c r="AP12" i="1"/>
  <c r="AI12" i="1"/>
  <c r="AH12" i="1"/>
  <c r="AA12" i="1"/>
  <c r="Z12" i="1"/>
  <c r="AN24" i="1"/>
  <c r="AL24" i="1"/>
  <c r="AJ24" i="1"/>
  <c r="AG24" i="1"/>
  <c r="AF24" i="1"/>
  <c r="AE24" i="1"/>
  <c r="AD24" i="1"/>
  <c r="AC24" i="1"/>
  <c r="AB24" i="1"/>
  <c r="Y24" i="1"/>
  <c r="X24" i="1"/>
  <c r="W24" i="1"/>
  <c r="V24" i="1"/>
  <c r="U24" i="1"/>
  <c r="T24" i="1"/>
  <c r="BD17" i="1"/>
  <c r="BB17" i="1"/>
  <c r="AZ17" i="1"/>
  <c r="AI18" i="1"/>
  <c r="AH18" i="1"/>
  <c r="BD14" i="1"/>
  <c r="BB14" i="1"/>
  <c r="AZ14" i="1"/>
  <c r="AN14" i="1"/>
  <c r="AL14" i="1"/>
  <c r="AJ14" i="1"/>
  <c r="AG14" i="1"/>
  <c r="AF14" i="1"/>
  <c r="AE14" i="1"/>
  <c r="AD14" i="1"/>
  <c r="AC14" i="1"/>
  <c r="AB14" i="1"/>
  <c r="Y14" i="1"/>
  <c r="X14" i="1"/>
  <c r="BD13" i="1"/>
  <c r="BB13" i="1"/>
  <c r="AZ13" i="1"/>
  <c r="AN11" i="1"/>
  <c r="AJ11" i="1"/>
  <c r="AG11" i="1"/>
  <c r="AF11" i="1"/>
  <c r="AE11" i="1"/>
  <c r="AD11" i="1"/>
  <c r="AV10" i="1"/>
  <c r="AT10" i="1"/>
  <c r="AR10" i="1"/>
  <c r="AN10" i="1"/>
  <c r="AL10" i="1"/>
  <c r="AJ10" i="1"/>
  <c r="AG10" i="1"/>
  <c r="AF10" i="1"/>
  <c r="AE10" i="1"/>
  <c r="AD10" i="1"/>
  <c r="AC10" i="1"/>
  <c r="AB10" i="1"/>
  <c r="X10" i="1"/>
  <c r="Z10" i="1" s="1"/>
  <c r="AV9" i="1"/>
  <c r="AR9" i="1"/>
  <c r="AN9" i="1"/>
  <c r="AL9" i="1"/>
  <c r="AJ9" i="1"/>
  <c r="AH9" i="1"/>
  <c r="AC17" i="1"/>
  <c r="Y17" i="1"/>
  <c r="AN17" i="1"/>
  <c r="AL17" i="1"/>
  <c r="AJ17" i="1"/>
  <c r="AF17" i="1"/>
  <c r="AD17" i="1"/>
  <c r="AB17" i="1"/>
  <c r="X17" i="1"/>
  <c r="V17" i="1"/>
  <c r="T17" i="1"/>
  <c r="BL21" i="8" l="1"/>
  <c r="BK21" i="8"/>
  <c r="BJ21" i="8"/>
  <c r="BH25" i="8"/>
  <c r="AI26" i="8"/>
  <c r="AQ26" i="8"/>
  <c r="AY26" i="8"/>
  <c r="AH11" i="1"/>
  <c r="BI25" i="8"/>
  <c r="AB26" i="8"/>
  <c r="AA26" i="8"/>
  <c r="BG21" i="8"/>
  <c r="BG22" i="8"/>
  <c r="BL22" i="8"/>
  <c r="AQ25" i="8"/>
  <c r="AY25" i="8"/>
  <c r="AJ26" i="8"/>
  <c r="BJ16" i="8"/>
  <c r="BK16" i="8"/>
  <c r="BL16" i="8"/>
  <c r="BH16" i="8"/>
  <c r="BJ22" i="8"/>
  <c r="BG16" i="8"/>
  <c r="BH21" i="8"/>
  <c r="BI16" i="8"/>
  <c r="BK22" i="8"/>
  <c r="BH22" i="8"/>
  <c r="Z15" i="1"/>
  <c r="AA15" i="1"/>
  <c r="AH15" i="1"/>
  <c r="AI15" i="1"/>
  <c r="AP15" i="1"/>
  <c r="AQ15" i="1"/>
  <c r="AH21" i="1"/>
  <c r="AP21" i="1"/>
  <c r="BG25" i="8" l="1"/>
  <c r="BG26" i="8"/>
  <c r="BK26" i="8"/>
  <c r="BM22" i="8"/>
  <c r="BH26" i="8"/>
  <c r="BI26" i="8"/>
  <c r="BJ26" i="8"/>
  <c r="BL25" i="8"/>
  <c r="BH15" i="1"/>
  <c r="BL26" i="8"/>
  <c r="BM21" i="8"/>
  <c r="BM25" i="8"/>
  <c r="BM19" i="8"/>
  <c r="BM18" i="8"/>
  <c r="BM16" i="8"/>
  <c r="BO16" i="8" s="1"/>
  <c r="BG12" i="1"/>
  <c r="BF12" i="1"/>
  <c r="BF15" i="1"/>
  <c r="BL19" i="1"/>
  <c r="BG15" i="1"/>
  <c r="BJ12" i="1"/>
  <c r="K8" i="7"/>
  <c r="L8" i="7"/>
  <c r="S8" i="7"/>
  <c r="T8" i="7"/>
  <c r="K9" i="7"/>
  <c r="L9" i="7"/>
  <c r="S9" i="7"/>
  <c r="T9" i="7"/>
  <c r="K10" i="7"/>
  <c r="AS10" i="7" s="1"/>
  <c r="L10" i="7"/>
  <c r="S10" i="7"/>
  <c r="T10" i="7"/>
  <c r="K11" i="7"/>
  <c r="AS11" i="7" s="1"/>
  <c r="L11" i="7"/>
  <c r="S11" i="7"/>
  <c r="T11" i="7"/>
  <c r="K12" i="7"/>
  <c r="L12" i="7"/>
  <c r="S12" i="7"/>
  <c r="T12" i="7"/>
  <c r="K13" i="7"/>
  <c r="L13" i="7"/>
  <c r="S13" i="7"/>
  <c r="T13" i="7"/>
  <c r="K14" i="7"/>
  <c r="L14" i="7"/>
  <c r="S14" i="7"/>
  <c r="T14" i="7"/>
  <c r="K15" i="7"/>
  <c r="L15" i="7"/>
  <c r="S15" i="7"/>
  <c r="T15" i="7"/>
  <c r="K16" i="7"/>
  <c r="L16" i="7"/>
  <c r="S16" i="7"/>
  <c r="T16" i="7"/>
  <c r="K17" i="7"/>
  <c r="L17" i="7"/>
  <c r="S17" i="7"/>
  <c r="T17" i="7"/>
  <c r="K18" i="7"/>
  <c r="L18" i="7"/>
  <c r="S18" i="7"/>
  <c r="T18" i="7"/>
  <c r="E19" i="7"/>
  <c r="F19" i="7"/>
  <c r="G19" i="7"/>
  <c r="H19" i="7"/>
  <c r="L19" i="7" s="1"/>
  <c r="I19" i="7"/>
  <c r="J19" i="7"/>
  <c r="M19" i="7"/>
  <c r="N19" i="7"/>
  <c r="O19" i="7"/>
  <c r="P19" i="7"/>
  <c r="Q19" i="7"/>
  <c r="R19" i="7"/>
  <c r="U19" i="7"/>
  <c r="W19" i="7"/>
  <c r="Y19" i="7"/>
  <c r="K20" i="7"/>
  <c r="L20" i="7"/>
  <c r="S20" i="7"/>
  <c r="T20" i="7"/>
  <c r="K21" i="7"/>
  <c r="AS21" i="7" s="1"/>
  <c r="L21" i="7"/>
  <c r="S21" i="7"/>
  <c r="T21" i="7"/>
  <c r="K22" i="7"/>
  <c r="L22" i="7"/>
  <c r="S22" i="7"/>
  <c r="T22" i="7"/>
  <c r="K23" i="7"/>
  <c r="AS23" i="7" s="1"/>
  <c r="L23" i="7"/>
  <c r="S23" i="7"/>
  <c r="T23" i="7"/>
  <c r="K24" i="7"/>
  <c r="L24" i="7"/>
  <c r="S24" i="7"/>
  <c r="T24" i="7"/>
  <c r="K25" i="7"/>
  <c r="S25" i="7"/>
  <c r="T25" i="7"/>
  <c r="K26" i="7"/>
  <c r="L26" i="7"/>
  <c r="S26" i="7"/>
  <c r="T26" i="7"/>
  <c r="K27" i="7"/>
  <c r="L27" i="7"/>
  <c r="AS27" i="7" s="1"/>
  <c r="S27" i="7"/>
  <c r="T27" i="7"/>
  <c r="AJ27" i="7"/>
  <c r="AI27" i="7"/>
  <c r="AB27" i="7"/>
  <c r="AA27" i="7"/>
  <c r="AJ26" i="7"/>
  <c r="AI26" i="7"/>
  <c r="AB26" i="7"/>
  <c r="AA26" i="7"/>
  <c r="AJ25" i="7"/>
  <c r="AI25" i="7"/>
  <c r="AB25" i="7"/>
  <c r="AA25" i="7"/>
  <c r="AJ24" i="7"/>
  <c r="AI24" i="7"/>
  <c r="AB24" i="7"/>
  <c r="AA24" i="7"/>
  <c r="AW23" i="7"/>
  <c r="AV23" i="7"/>
  <c r="AU23" i="7"/>
  <c r="AT23" i="7"/>
  <c r="AJ23" i="7"/>
  <c r="AI23" i="7"/>
  <c r="AB23" i="7"/>
  <c r="AA23" i="7"/>
  <c r="AJ22" i="7"/>
  <c r="AI22" i="7"/>
  <c r="AB22" i="7"/>
  <c r="AA22" i="7"/>
  <c r="AJ21" i="7"/>
  <c r="AI21" i="7"/>
  <c r="AB21" i="7"/>
  <c r="AA21" i="7"/>
  <c r="AJ20" i="7"/>
  <c r="AI20" i="7"/>
  <c r="AB20" i="7"/>
  <c r="AA20" i="7"/>
  <c r="AJ19" i="7"/>
  <c r="AG19" i="7"/>
  <c r="AE19" i="7"/>
  <c r="AC19" i="7"/>
  <c r="AB19" i="7"/>
  <c r="AJ18" i="7"/>
  <c r="AI18" i="7"/>
  <c r="AB18" i="7"/>
  <c r="AA18" i="7"/>
  <c r="AJ17" i="7"/>
  <c r="AI17" i="7"/>
  <c r="AB17" i="7"/>
  <c r="AA17" i="7"/>
  <c r="AJ16" i="7"/>
  <c r="AI16" i="7"/>
  <c r="AB16" i="7"/>
  <c r="AA16" i="7"/>
  <c r="AJ15" i="7"/>
  <c r="AI15" i="7"/>
  <c r="AB15" i="7"/>
  <c r="AA15" i="7"/>
  <c r="AJ14" i="7"/>
  <c r="AI14" i="7"/>
  <c r="AB14" i="7"/>
  <c r="AA14" i="7"/>
  <c r="AJ13" i="7"/>
  <c r="AI13" i="7"/>
  <c r="AB13" i="7"/>
  <c r="AA13" i="7"/>
  <c r="AJ12" i="7"/>
  <c r="AI12" i="7"/>
  <c r="AB12" i="7"/>
  <c r="AA12" i="7"/>
  <c r="AJ11" i="7"/>
  <c r="AI11" i="7"/>
  <c r="AB11" i="7"/>
  <c r="AA11" i="7"/>
  <c r="AJ10" i="7"/>
  <c r="AI10" i="7"/>
  <c r="AB10" i="7"/>
  <c r="AA10" i="7"/>
  <c r="AJ9" i="7"/>
  <c r="AI9" i="7"/>
  <c r="AB9" i="7"/>
  <c r="AA9" i="7"/>
  <c r="AJ8" i="7"/>
  <c r="AI8" i="7"/>
  <c r="AB8" i="7"/>
  <c r="AA8" i="7"/>
  <c r="BM26" i="8" l="1"/>
  <c r="BO26" i="8" s="1"/>
  <c r="BO18" i="8"/>
  <c r="BO20" i="8"/>
  <c r="BO24" i="8"/>
  <c r="BL12" i="1"/>
  <c r="BL15" i="1"/>
  <c r="K19" i="7"/>
  <c r="S19" i="7"/>
  <c r="T19" i="7"/>
  <c r="AU19" i="7" s="1"/>
  <c r="AR13" i="7"/>
  <c r="AQ26" i="7"/>
  <c r="AS20" i="7"/>
  <c r="AQ14" i="7"/>
  <c r="AQ25" i="7"/>
  <c r="AV24" i="7"/>
  <c r="AR25" i="7"/>
  <c r="AU15" i="7"/>
  <c r="AQ15" i="7"/>
  <c r="AS14" i="7"/>
  <c r="AV10" i="7"/>
  <c r="AT10" i="7"/>
  <c r="AU11" i="7"/>
  <c r="AU14" i="7"/>
  <c r="AS15" i="7"/>
  <c r="AT17" i="7"/>
  <c r="AT20" i="7"/>
  <c r="AT21" i="7"/>
  <c r="AV26" i="7"/>
  <c r="AV27" i="7"/>
  <c r="AQ11" i="7"/>
  <c r="AQ16" i="7"/>
  <c r="AQ18" i="7"/>
  <c r="AA19" i="7"/>
  <c r="AI19" i="7"/>
  <c r="AQ19" i="7" s="1"/>
  <c r="AU20" i="7"/>
  <c r="AU21" i="7"/>
  <c r="AQ22" i="7"/>
  <c r="AQ23" i="7"/>
  <c r="AV25" i="7"/>
  <c r="AU12" i="7"/>
  <c r="AQ13" i="7"/>
  <c r="AT18" i="7"/>
  <c r="AT22" i="7"/>
  <c r="AR23" i="7"/>
  <c r="AQ24" i="7"/>
  <c r="AS24" i="7"/>
  <c r="AS25" i="7"/>
  <c r="AT27" i="7"/>
  <c r="AS16" i="7"/>
  <c r="AU16" i="7"/>
  <c r="AU9" i="7"/>
  <c r="AT9" i="7"/>
  <c r="AS9" i="7"/>
  <c r="AQ12" i="7"/>
  <c r="AS12" i="7"/>
  <c r="AW13" i="7"/>
  <c r="AU17" i="7"/>
  <c r="AQ17" i="7"/>
  <c r="AU8" i="7"/>
  <c r="AT8" i="7"/>
  <c r="AS8" i="7"/>
  <c r="AV8" i="7"/>
  <c r="AV9" i="7"/>
  <c r="AU10" i="7"/>
  <c r="AQ8" i="7"/>
  <c r="AR8" i="7"/>
  <c r="AQ9" i="7"/>
  <c r="AR9" i="7"/>
  <c r="AQ10" i="7"/>
  <c r="AV11" i="7"/>
  <c r="AT11" i="7"/>
  <c r="AT12" i="7"/>
  <c r="AT13" i="7"/>
  <c r="AS13" i="7"/>
  <c r="AU13" i="7"/>
  <c r="AV13" i="7"/>
  <c r="AV15" i="7"/>
  <c r="AT15" i="7"/>
  <c r="AT16" i="7"/>
  <c r="AS17" i="7"/>
  <c r="AR19" i="7"/>
  <c r="AR14" i="7"/>
  <c r="AV14" i="7"/>
  <c r="AU18" i="7"/>
  <c r="AU22" i="7"/>
  <c r="AR24" i="7"/>
  <c r="AS26" i="7"/>
  <c r="AR27" i="7"/>
  <c r="AR18" i="7"/>
  <c r="AV18" i="7"/>
  <c r="AQ20" i="7"/>
  <c r="AQ21" i="7"/>
  <c r="AR22" i="7"/>
  <c r="AW22" i="7" s="1"/>
  <c r="AV22" i="7"/>
  <c r="AR26" i="7"/>
  <c r="AQ27" i="7"/>
  <c r="AU27" i="7"/>
  <c r="AR12" i="7"/>
  <c r="AV12" i="7"/>
  <c r="AT14" i="7"/>
  <c r="AR16" i="7"/>
  <c r="AV16" i="7"/>
  <c r="AR17" i="7"/>
  <c r="AV17" i="7"/>
  <c r="AS18" i="7"/>
  <c r="AR20" i="7"/>
  <c r="AV20" i="7"/>
  <c r="AR21" i="7"/>
  <c r="AW21" i="7" s="1"/>
  <c r="AV21" i="7"/>
  <c r="AS22" i="7"/>
  <c r="AR10" i="7"/>
  <c r="AR11" i="7"/>
  <c r="AR15" i="7"/>
  <c r="AW15" i="7" s="1"/>
  <c r="AW11" i="7" l="1"/>
  <c r="AW26" i="7"/>
  <c r="AW14" i="7"/>
  <c r="AV19" i="7"/>
  <c r="AW25" i="7"/>
  <c r="AW16" i="7"/>
  <c r="AW18" i="7"/>
  <c r="AW20" i="7"/>
  <c r="AY20" i="7"/>
  <c r="AW12" i="7"/>
  <c r="AW24" i="7"/>
  <c r="AW8" i="7"/>
  <c r="AW19" i="7"/>
  <c r="AS19" i="7"/>
  <c r="AT19" i="7"/>
  <c r="AW10" i="7"/>
  <c r="AW17" i="7"/>
  <c r="AW27" i="7"/>
  <c r="AW9" i="7"/>
  <c r="AY16" i="7" l="1"/>
  <c r="AY10" i="7"/>
  <c r="AY23" i="7"/>
  <c r="AY18" i="7"/>
  <c r="AY8" i="7"/>
  <c r="AH23" i="1"/>
  <c r="BB3" i="4" l="1"/>
  <c r="AO3" i="4"/>
  <c r="AN3" i="4"/>
  <c r="AG3" i="4"/>
  <c r="AF3" i="4"/>
  <c r="Y3" i="4"/>
  <c r="X3" i="4"/>
  <c r="Q3" i="4"/>
  <c r="P3" i="4"/>
  <c r="AO2" i="4"/>
  <c r="AN2" i="4"/>
  <c r="AG2" i="4"/>
  <c r="AF2" i="4"/>
  <c r="Y2" i="4"/>
  <c r="X2" i="4"/>
  <c r="Q2" i="4"/>
  <c r="P2" i="4"/>
  <c r="AO27" i="3"/>
  <c r="AN27" i="3"/>
  <c r="AG27" i="3"/>
  <c r="AF27" i="3"/>
  <c r="Y27" i="3"/>
  <c r="X27" i="3"/>
  <c r="Q27" i="3"/>
  <c r="P27" i="3"/>
  <c r="AO26" i="3"/>
  <c r="AN26" i="3"/>
  <c r="AG26" i="3"/>
  <c r="AF26" i="3"/>
  <c r="Y26" i="3"/>
  <c r="X26" i="3"/>
  <c r="Q26" i="3"/>
  <c r="P26" i="3"/>
  <c r="AO25" i="3"/>
  <c r="AN25" i="3"/>
  <c r="AG25" i="3"/>
  <c r="AF25" i="3"/>
  <c r="Y25" i="3"/>
  <c r="X25" i="3"/>
  <c r="Q25" i="3"/>
  <c r="P25" i="3"/>
  <c r="AO24" i="3"/>
  <c r="AN24" i="3"/>
  <c r="AG24" i="3"/>
  <c r="AF24" i="3"/>
  <c r="Y24" i="3"/>
  <c r="X24" i="3"/>
  <c r="Q24" i="3"/>
  <c r="P24" i="3"/>
  <c r="BB23" i="3"/>
  <c r="AO23" i="3"/>
  <c r="AN23" i="3"/>
  <c r="AG23" i="3"/>
  <c r="AF23" i="3"/>
  <c r="Y23" i="3"/>
  <c r="X23" i="3"/>
  <c r="Q23" i="3"/>
  <c r="P23" i="3"/>
  <c r="AO22" i="3"/>
  <c r="AN22" i="3"/>
  <c r="AG22" i="3"/>
  <c r="AF22" i="3"/>
  <c r="Y22" i="3"/>
  <c r="X22" i="3"/>
  <c r="Q22" i="3"/>
  <c r="P22" i="3"/>
  <c r="AO21" i="3"/>
  <c r="AN21" i="3"/>
  <c r="AG21" i="3"/>
  <c r="AF21" i="3"/>
  <c r="Y21" i="3"/>
  <c r="X21" i="3"/>
  <c r="Q21" i="3"/>
  <c r="P21" i="3"/>
  <c r="AO20" i="3"/>
  <c r="AN20" i="3"/>
  <c r="AG20" i="3"/>
  <c r="AF20" i="3"/>
  <c r="Y20" i="3"/>
  <c r="X20" i="3"/>
  <c r="Q20" i="3"/>
  <c r="P20" i="3"/>
  <c r="AO19" i="3"/>
  <c r="AL19" i="3"/>
  <c r="AJ19" i="3"/>
  <c r="AH19" i="3"/>
  <c r="AG19" i="3"/>
  <c r="AD19" i="3"/>
  <c r="AB19" i="3"/>
  <c r="Z19" i="3"/>
  <c r="V19" i="3"/>
  <c r="T19" i="3"/>
  <c r="S19" i="3"/>
  <c r="Y19" i="3" s="1"/>
  <c r="R19" i="3"/>
  <c r="O19" i="3"/>
  <c r="N19" i="3"/>
  <c r="M19" i="3"/>
  <c r="L19" i="3"/>
  <c r="K19" i="3"/>
  <c r="J19" i="3"/>
  <c r="AO18" i="3"/>
  <c r="AN18" i="3"/>
  <c r="AG18" i="3"/>
  <c r="AF18" i="3"/>
  <c r="Y18" i="3"/>
  <c r="X18" i="3"/>
  <c r="Q18" i="3"/>
  <c r="P18" i="3"/>
  <c r="AO17" i="3"/>
  <c r="AN17" i="3"/>
  <c r="AG17" i="3"/>
  <c r="AF17" i="3"/>
  <c r="Y17" i="3"/>
  <c r="X17" i="3"/>
  <c r="Q17" i="3"/>
  <c r="P17" i="3"/>
  <c r="AO16" i="3"/>
  <c r="AN16" i="3"/>
  <c r="AG16" i="3"/>
  <c r="AF16" i="3"/>
  <c r="Y16" i="3"/>
  <c r="X16" i="3"/>
  <c r="Q16" i="3"/>
  <c r="P16" i="3"/>
  <c r="AO15" i="3"/>
  <c r="AN15" i="3"/>
  <c r="AG15" i="3"/>
  <c r="AF15" i="3"/>
  <c r="Y15" i="3"/>
  <c r="X15" i="3"/>
  <c r="Q15" i="3"/>
  <c r="P15" i="3"/>
  <c r="AO14" i="3"/>
  <c r="AN14" i="3"/>
  <c r="AG14" i="3"/>
  <c r="AF14" i="3"/>
  <c r="Y14" i="3"/>
  <c r="X14" i="3"/>
  <c r="Q14" i="3"/>
  <c r="P14" i="3"/>
  <c r="AO13" i="3"/>
  <c r="AN13" i="3"/>
  <c r="AG13" i="3"/>
  <c r="AF13" i="3"/>
  <c r="Y13" i="3"/>
  <c r="X13" i="3"/>
  <c r="Q13" i="3"/>
  <c r="P13" i="3"/>
  <c r="AO12" i="3"/>
  <c r="AN12" i="3"/>
  <c r="AG12" i="3"/>
  <c r="AF12" i="3"/>
  <c r="Y12" i="3"/>
  <c r="X12" i="3"/>
  <c r="Q12" i="3"/>
  <c r="P12" i="3"/>
  <c r="AO11" i="3"/>
  <c r="AN11" i="3"/>
  <c r="AG11" i="3"/>
  <c r="AF11" i="3"/>
  <c r="Y11" i="3"/>
  <c r="X11" i="3"/>
  <c r="Q11" i="3"/>
  <c r="P11" i="3"/>
  <c r="AO10" i="3"/>
  <c r="AN10" i="3"/>
  <c r="AG10" i="3"/>
  <c r="AF10" i="3"/>
  <c r="Y10" i="3"/>
  <c r="X10" i="3"/>
  <c r="Q10" i="3"/>
  <c r="AW10" i="3" s="1"/>
  <c r="P10" i="3"/>
  <c r="AO9" i="3"/>
  <c r="AN9" i="3"/>
  <c r="AG9" i="3"/>
  <c r="AF9" i="3"/>
  <c r="Y9" i="3"/>
  <c r="X9" i="3"/>
  <c r="Q9" i="3"/>
  <c r="P9" i="3"/>
  <c r="AO8" i="3"/>
  <c r="AN8" i="3"/>
  <c r="AG8" i="3"/>
  <c r="AF8" i="3"/>
  <c r="Y8" i="3"/>
  <c r="X8" i="3"/>
  <c r="Q8" i="3"/>
  <c r="P8" i="3"/>
  <c r="AX23" i="3" l="1"/>
  <c r="AV25" i="3"/>
  <c r="AV2" i="4"/>
  <c r="AV9" i="3"/>
  <c r="AV10" i="3"/>
  <c r="BB10" i="3" s="1"/>
  <c r="AV15" i="3"/>
  <c r="AV16" i="3"/>
  <c r="AV18" i="3"/>
  <c r="P19" i="3"/>
  <c r="AW26" i="3"/>
  <c r="AX3" i="4"/>
  <c r="AW21" i="3"/>
  <c r="AZ2" i="4"/>
  <c r="BA8" i="3"/>
  <c r="AV27" i="3"/>
  <c r="AY3" i="4"/>
  <c r="AZ3" i="4"/>
  <c r="BA3" i="4"/>
  <c r="AW2" i="4"/>
  <c r="BB2" i="4" s="1"/>
  <c r="BA2" i="4"/>
  <c r="AX2" i="4"/>
  <c r="AY2" i="4"/>
  <c r="AZ27" i="3"/>
  <c r="AW13" i="3"/>
  <c r="BA14" i="3"/>
  <c r="AW18" i="3"/>
  <c r="Q19" i="3"/>
  <c r="AX25" i="3"/>
  <c r="X19" i="3"/>
  <c r="AY18" i="3"/>
  <c r="AW20" i="3"/>
  <c r="AY27" i="3"/>
  <c r="AX16" i="3"/>
  <c r="AZ20" i="3"/>
  <c r="BA9" i="3"/>
  <c r="BA10" i="3"/>
  <c r="AX10" i="3"/>
  <c r="AY12" i="3"/>
  <c r="AY15" i="3"/>
  <c r="BA16" i="3"/>
  <c r="AZ17" i="3"/>
  <c r="BA21" i="3"/>
  <c r="AX21" i="3"/>
  <c r="AV26" i="3"/>
  <c r="AY8" i="3"/>
  <c r="AV11" i="3"/>
  <c r="AV12" i="3"/>
  <c r="AX12" i="3"/>
  <c r="AY14" i="3"/>
  <c r="BA17" i="3"/>
  <c r="BA18" i="3"/>
  <c r="AX18" i="3"/>
  <c r="AV21" i="3"/>
  <c r="AV22" i="3"/>
  <c r="AY22" i="3"/>
  <c r="AZ23" i="3"/>
  <c r="AW24" i="3"/>
  <c r="BA25" i="3"/>
  <c r="AY25" i="3"/>
  <c r="BA26" i="3"/>
  <c r="AV8" i="3"/>
  <c r="AX8" i="3"/>
  <c r="AZ10" i="3"/>
  <c r="AX11" i="3"/>
  <c r="BA12" i="3"/>
  <c r="AZ13" i="3"/>
  <c r="AV14" i="3"/>
  <c r="AX14" i="3"/>
  <c r="AY16" i="3"/>
  <c r="AF19" i="3"/>
  <c r="AN19" i="3"/>
  <c r="AV20" i="3"/>
  <c r="AY20" i="3"/>
  <c r="AY21" i="3"/>
  <c r="BA22" i="3"/>
  <c r="AZ22" i="3"/>
  <c r="AV24" i="3"/>
  <c r="AX27" i="3"/>
  <c r="AW8" i="3"/>
  <c r="AZ11" i="3"/>
  <c r="BA24" i="3"/>
  <c r="BA11" i="3"/>
  <c r="BA13" i="3"/>
  <c r="BA15" i="3"/>
  <c r="AZ8" i="3"/>
  <c r="AW9" i="3"/>
  <c r="AZ12" i="3"/>
  <c r="AZ14" i="3"/>
  <c r="AW15" i="3"/>
  <c r="AZ16" i="3"/>
  <c r="AW17" i="3"/>
  <c r="AZ18" i="3"/>
  <c r="BA23" i="3"/>
  <c r="AX24" i="3"/>
  <c r="AX26" i="3"/>
  <c r="BA27" i="3"/>
  <c r="AX9" i="3"/>
  <c r="AX13" i="3"/>
  <c r="AX15" i="3"/>
  <c r="AX17" i="3"/>
  <c r="AZ21" i="3"/>
  <c r="AW22" i="3"/>
  <c r="AY24" i="3"/>
  <c r="AY26" i="3"/>
  <c r="AY9" i="3"/>
  <c r="AY11" i="3"/>
  <c r="AY13" i="3"/>
  <c r="AY17" i="3"/>
  <c r="AX20" i="3"/>
  <c r="AX22" i="3"/>
  <c r="AZ24" i="3"/>
  <c r="AW25" i="3"/>
  <c r="BB25" i="3" s="1"/>
  <c r="AZ26" i="3"/>
  <c r="AW27" i="3"/>
  <c r="AZ9" i="3"/>
  <c r="AW16" i="3"/>
  <c r="BB16" i="3" s="1"/>
  <c r="AY23" i="3"/>
  <c r="AW12" i="3"/>
  <c r="AW14" i="3"/>
  <c r="AZ15" i="3"/>
  <c r="AY10" i="3"/>
  <c r="AV13" i="3"/>
  <c r="AV17" i="3"/>
  <c r="BA20" i="3"/>
  <c r="AZ25" i="3"/>
  <c r="AW11" i="3"/>
  <c r="BB13" i="3" l="1"/>
  <c r="BB9" i="3"/>
  <c r="BB18" i="3"/>
  <c r="BB21" i="3"/>
  <c r="BB11" i="3"/>
  <c r="BB22" i="3"/>
  <c r="BB26" i="3"/>
  <c r="BB15" i="3"/>
  <c r="AY19" i="3"/>
  <c r="AZ19" i="3"/>
  <c r="AW19" i="3"/>
  <c r="BB14" i="3"/>
  <c r="AX19" i="3"/>
  <c r="BB12" i="3"/>
  <c r="BB27" i="3"/>
  <c r="BB20" i="3"/>
  <c r="BB24" i="3"/>
  <c r="BA19" i="3"/>
  <c r="AV19" i="3"/>
  <c r="BB19" i="3" s="1"/>
  <c r="BB17" i="3"/>
  <c r="BB8" i="3"/>
  <c r="BJ8" i="1" l="1"/>
  <c r="BL8" i="1"/>
  <c r="BI8" i="1"/>
  <c r="BK8" i="1"/>
  <c r="BH8" i="1"/>
  <c r="AX10" i="1" l="1"/>
  <c r="AY10" i="1"/>
  <c r="AQ10" i="1"/>
  <c r="AQ11" i="1"/>
  <c r="AP10" i="1"/>
  <c r="AP11" i="1"/>
  <c r="AI10" i="1"/>
  <c r="AI11" i="1"/>
  <c r="AH10" i="1"/>
  <c r="AX9" i="1" l="1"/>
  <c r="AP9" i="1"/>
  <c r="AA10" i="1"/>
  <c r="AY9" i="1"/>
  <c r="AQ9" i="1"/>
  <c r="AI9" i="1"/>
  <c r="AA9" i="1"/>
  <c r="BH9" i="1" l="1"/>
  <c r="BG9" i="1"/>
  <c r="BF9" i="1"/>
  <c r="BH10" i="1"/>
  <c r="BI9" i="1"/>
  <c r="Z11" i="1"/>
  <c r="AA11" i="1"/>
  <c r="Z13" i="1"/>
  <c r="AA13" i="1"/>
  <c r="Z14" i="1"/>
  <c r="AA14" i="1"/>
  <c r="Z16" i="1"/>
  <c r="AA16" i="1"/>
  <c r="Z17" i="1"/>
  <c r="AA17" i="1"/>
  <c r="Z18" i="1"/>
  <c r="AA18" i="1"/>
  <c r="Z20" i="1"/>
  <c r="AA20" i="1"/>
  <c r="Z21" i="1"/>
  <c r="AA21" i="1"/>
  <c r="Z23" i="1"/>
  <c r="AA23" i="1"/>
  <c r="AH13" i="1"/>
  <c r="AI13" i="1"/>
  <c r="AH14" i="1"/>
  <c r="AI14" i="1"/>
  <c r="AH16" i="1"/>
  <c r="AI16" i="1"/>
  <c r="AH17" i="1"/>
  <c r="AI17" i="1"/>
  <c r="AH20" i="1"/>
  <c r="AI20" i="1"/>
  <c r="AI21" i="1"/>
  <c r="AI23" i="1"/>
  <c r="AP13" i="1"/>
  <c r="AQ13" i="1"/>
  <c r="AP14" i="1"/>
  <c r="AQ14" i="1"/>
  <c r="AP16" i="1"/>
  <c r="AQ16" i="1"/>
  <c r="AP17" i="1"/>
  <c r="AQ17" i="1"/>
  <c r="AP18" i="1"/>
  <c r="AQ18" i="1"/>
  <c r="AP20" i="1"/>
  <c r="AQ20" i="1"/>
  <c r="AQ21" i="1"/>
  <c r="AQ23" i="1"/>
  <c r="AQ24" i="1"/>
  <c r="BG21" i="1" l="1"/>
  <c r="BH21" i="1"/>
  <c r="BI16" i="1"/>
  <c r="BF17" i="1"/>
  <c r="BH13" i="1"/>
  <c r="BF21" i="1"/>
  <c r="BI20" i="1"/>
  <c r="BG20" i="1"/>
  <c r="BF20" i="1"/>
  <c r="BH17" i="1"/>
  <c r="BG17" i="1"/>
  <c r="BH11" i="1"/>
  <c r="BG11" i="1"/>
  <c r="BH12" i="1"/>
  <c r="BH23" i="1"/>
  <c r="BH20" i="1"/>
  <c r="BH18" i="1"/>
  <c r="BH16" i="1"/>
  <c r="BH14" i="1"/>
  <c r="BF18" i="1"/>
  <c r="AI24" i="1"/>
  <c r="AH24" i="1"/>
  <c r="BF13" i="1"/>
  <c r="BI13" i="1"/>
  <c r="BJ13" i="1"/>
  <c r="BK13" i="1"/>
  <c r="BF14" i="1"/>
  <c r="BG14" i="1"/>
  <c r="BI14" i="1"/>
  <c r="BJ14" i="1"/>
  <c r="BK14" i="1"/>
  <c r="BI15" i="1"/>
  <c r="BJ15" i="1"/>
  <c r="BK15" i="1"/>
  <c r="BF16" i="1"/>
  <c r="BG16" i="1"/>
  <c r="BJ16" i="1"/>
  <c r="BK16" i="1"/>
  <c r="BI17" i="1"/>
  <c r="BJ17" i="1"/>
  <c r="BK17" i="1"/>
  <c r="BG18" i="1"/>
  <c r="BI18" i="1"/>
  <c r="BJ18" i="1"/>
  <c r="BK18" i="1"/>
  <c r="BI19" i="1"/>
  <c r="BJ19" i="1"/>
  <c r="BJ20" i="1"/>
  <c r="BK20" i="1"/>
  <c r="BI21" i="1"/>
  <c r="BJ21" i="1"/>
  <c r="BK21" i="1"/>
  <c r="BL18" i="1" l="1"/>
  <c r="BL17" i="1"/>
  <c r="BN17" i="1"/>
  <c r="BL20" i="1"/>
  <c r="BL16" i="1"/>
  <c r="BL21" i="1"/>
  <c r="BL14" i="1"/>
  <c r="BL13" i="1"/>
  <c r="Z24" i="1"/>
  <c r="AP24" i="1"/>
  <c r="AA24" i="1"/>
  <c r="BG24" i="1" s="1"/>
  <c r="AP23" i="1"/>
  <c r="BN19" i="1" l="1"/>
  <c r="BL23" i="1"/>
  <c r="BN23" i="1" s="1"/>
  <c r="BK23" i="1"/>
  <c r="BH24" i="1"/>
  <c r="BK24" i="1"/>
  <c r="BF24" i="1"/>
  <c r="BL24" i="1" s="1"/>
  <c r="BN24" i="1" s="1"/>
  <c r="BJ24" i="1"/>
  <c r="BI24" i="1"/>
  <c r="BJ9" i="1"/>
  <c r="BF10" i="1"/>
  <c r="BI11" i="1"/>
  <c r="BI12" i="1"/>
  <c r="BK10" i="1"/>
  <c r="BF11" i="1"/>
  <c r="BL11" i="1" s="1"/>
  <c r="BG10" i="1"/>
  <c r="BL10" i="1" s="1"/>
  <c r="BL9" i="1"/>
  <c r="BJ11" i="1"/>
  <c r="BJ10" i="1"/>
  <c r="BI10" i="1"/>
  <c r="BK11" i="1"/>
  <c r="BK9" i="1"/>
  <c r="BN9" i="1" l="1"/>
  <c r="BK12" i="1"/>
  <c r="B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Cano</author>
  </authors>
  <commentList>
    <comment ref="F23" authorId="0" shapeId="0" xr:uid="{D365D735-EB43-4A82-AB3A-9C3665C28063}">
      <text>
        <r>
          <rPr>
            <sz val="9"/>
            <color indexed="81"/>
            <rFont val="Tahoma"/>
            <family val="2"/>
          </rPr>
          <t xml:space="preserve">Registre la meta asociada al instrumento de planeacion cuyo cumplimiento se mide por medio del indicador.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Cano</author>
  </authors>
  <commentList>
    <comment ref="F19" authorId="0" shapeId="0" xr:uid="{C374F63B-78C7-492F-908F-5C2079C73F4E}">
      <text>
        <r>
          <rPr>
            <sz val="9"/>
            <color indexed="81"/>
            <rFont val="Tahoma"/>
            <family val="2"/>
          </rPr>
          <t xml:space="preserve">Registre la meta asociada al instrumento de planeacion cuyo cumplimiento se mide por medio del indicador.
</t>
        </r>
      </text>
    </comment>
    <comment ref="F23" authorId="0" shapeId="0" xr:uid="{3B3115CD-4520-4847-AEE0-FDB286F5AD09}">
      <text>
        <r>
          <rPr>
            <sz val="9"/>
            <color indexed="81"/>
            <rFont val="Tahoma"/>
            <family val="2"/>
          </rPr>
          <t xml:space="preserve">Registre la meta asociada al instrumento de planeacion cuyo cumplimiento se mide por medio del indicador.
</t>
        </r>
      </text>
    </comment>
  </commentList>
</comments>
</file>

<file path=xl/sharedStrings.xml><?xml version="1.0" encoding="utf-8"?>
<sst xmlns="http://schemas.openxmlformats.org/spreadsheetml/2006/main" count="1421" uniqueCount="463">
  <si>
    <t>4. Fortalecer la identificación y ejecución de acciones de reducción del riesgo al igual que las medidas de adaptación al cambio climático en Bogotá D.C.</t>
  </si>
  <si>
    <t>7. Fortalecer los procesos estratégicos, de apoyo y evaluación mediante la implementación de lineamientos que soporten la gestión misional en cumplimiento de los objetivos institucionales en el marco de la mejora continua.</t>
  </si>
  <si>
    <t>4to Trim</t>
  </si>
  <si>
    <t>3er Trim</t>
  </si>
  <si>
    <t>2do Trim</t>
  </si>
  <si>
    <t>1er Trim</t>
  </si>
  <si>
    <t>E</t>
  </si>
  <si>
    <t>P</t>
  </si>
  <si>
    <t>Ejecución Anual</t>
  </si>
  <si>
    <t>Ejecución Acumulada</t>
  </si>
  <si>
    <t>4TO TRIM</t>
  </si>
  <si>
    <t>3ER TRIM</t>
  </si>
  <si>
    <t>2DO TRIM</t>
  </si>
  <si>
    <t>1ER TRIM</t>
  </si>
  <si>
    <t>Producto</t>
  </si>
  <si>
    <t>Actividades</t>
  </si>
  <si>
    <t>Indicador</t>
  </si>
  <si>
    <t>Objetivo Estratégico</t>
  </si>
  <si>
    <t>Meta Estratégica</t>
  </si>
  <si>
    <t>1.Coordinar a los actores del SDGRCC con lineamientos, mecanismos, instrumentos y espacios de participación, para fortalecer el conocimiento y la reducción del riesgo, el manejo de emergencias y desastres, así como las medidas de adaptación al cambio climático en el Distrito Capital.</t>
  </si>
  <si>
    <t xml:space="preserve">1.1. Desarrollar el 100% de las acciones necesarias para la articulación y dinamización del Sistema Distrital de Gestión de Riesgos y Cambio Climático </t>
  </si>
  <si>
    <t>2. Fortalecer y promover el conocimiento del riesgo de desastres y efectos del cambio climático para la toma de decisiones frente a las medidas de reducción, manejo y adaptación en el Distrito de Capital.</t>
  </si>
  <si>
    <t>2.1 Generar el 100% de los productos asociados al estado del tiempo y actualización de bases de datos para analisis de variabilidad climática y cambio climático</t>
  </si>
  <si>
    <t xml:space="preserve">2.2 Emitir lineamientos  para estudios de detalle de riesgo por inundación para ordenamiento y reordenamiento territorial. </t>
  </si>
  <si>
    <t>3. Modernizar el sistema de Información de Gestión de Riesgos y Cambio Climático con enfoque de escenarios</t>
  </si>
  <si>
    <t>3.2 Fortalecer el 100 % de los componentes de conocimiento del sistema de información de gestión de riesgos y de cambio climático SIRE con enfoque de escenarios. TIC</t>
  </si>
  <si>
    <t xml:space="preserve">5. Fortalecer el manejo de emergencias, calamidades y/o desastres en el marco del SDGR – CC en Bogotá D.C.
</t>
  </si>
  <si>
    <t>5.1 Administrar y operar eficientemente un (1) Centro Distrital Logístico y de Reserva</t>
  </si>
  <si>
    <t>5.2 Implementar el  100% del plan de acción de las actividades de aglomeraciones de público, parques de diversiones, atracciones, dispositivos de entretenimiento y sistemas de transporte vertical.</t>
  </si>
  <si>
    <t>6. implementar la estrategia del servicio a la ciudadanía y a los grupos de interés del IDIGER, brindando soluciones integrales para el acceso a la información y mejora en la prestación de los servicios, procurando calidad, calidez y oportunidad en armonía con los principios de transparencia, prevención y lucha contra la corrupción.</t>
  </si>
  <si>
    <t xml:space="preserve">7.1 Fortalecer los procesos estratégicos, de apoyo y evaluación del IDIGER que soporten la misión institucional en el marco del Modelo Integrado de Planeación y Gestión MIPG y los Sistemas de Gestión. </t>
  </si>
  <si>
    <t>Porcentaje de productos del estado del tiempo generados 
Código CR-IE-004</t>
  </si>
  <si>
    <t>Porcentaje de bases de datos actualizadas para la adaptación Código CR-IE-113</t>
  </si>
  <si>
    <t>Porcentaje de lineamientos  para la realizacion de los estudios detallados de amenaza y riesgo por fenomenos de inundación generados 
Código CR-IE-006</t>
  </si>
  <si>
    <t>Porcentaje de avance de construcción de componentes por fenómenos amenazantes que hacen parte del documento
Código CR-IE-008</t>
  </si>
  <si>
    <t>Porcentaje de avance de lineamientos y/o criterios desarrollados
CR-IE-009</t>
  </si>
  <si>
    <t>Número de campañas educativas realizadas
CE-IE-019</t>
  </si>
  <si>
    <t>Número de periodistas y/o comunicadores sociales capacitados en gestión de riesgos y cambio climático de los identificados  
CE-IE-019</t>
  </si>
  <si>
    <t>Porcentaje de requerimientos de soluciones informáticas implementadas TI-IE-111</t>
  </si>
  <si>
    <t>Número de obras de mitigación para la reducción del riesgo y adaptación al cambio climático ejecutadas RR-IE-046</t>
  </si>
  <si>
    <t>Porcentaje de ayudas Humanitarias entregadas
Código ME-IE-58</t>
  </si>
  <si>
    <t>Documentos con lineamientos técnicos elaborados y socializados
Código ME-IE-11</t>
  </si>
  <si>
    <t>Número de personas sensibilizadas en la integración de los sistemas de alerta con las comunidades en riesgo
Código ME-IE-33</t>
  </si>
  <si>
    <t xml:space="preserve">Porcentaje de cumplimiento acciones implementadas del MIPG - SIG
DE-IG-002 </t>
  </si>
  <si>
    <t>1. Revisar y actualizar la matriz de instancias de coordinación del Distrito en las cuales participa el IDIGER.
2. Apoyar la Secretaría Técnica del Consejo Distrital para Gestión de Riesgos y Cambio Climático, Comisión Intersectorial de Gestión de Riesgos y Cambio Climático y Consejo Consultivo Distrital de Gestión de Riesgos y Cambio Climático, según solicitud de la Dirección General de la entidad.
3. Ejrercer la Secretaría Técnica de los 20 Consejos Locales de Gestión de Riesgos y Cambio Climático
4. Ejecutar los compromisos adquiridos por la entidad en las instancias de coordinación correspondientes a la OAP.
5. Realizar el seguimiento  a instancias de orientación y coordinación, a través de la consolidación de información trimestral de su funcionamiento.</t>
  </si>
  <si>
    <t>Jefe Oficina Asesora de Planeación</t>
  </si>
  <si>
    <t>Subdirectora de Análisis y Efectos del Cambio Climático</t>
  </si>
  <si>
    <t>Asesor de Comunicaciones</t>
  </si>
  <si>
    <t>Jefe Oficina TICS</t>
  </si>
  <si>
    <t>Subdirector de Manejo de Emergencias y Desastres</t>
  </si>
  <si>
    <t>Subdirectora Corporativa y Asuntos Disciplinarios</t>
  </si>
  <si>
    <t>Responsable</t>
  </si>
  <si>
    <t>1. Elaboración estudios previos y revisión de parte de jurídica IDIGER.
2. Envio a IDEAM para revisión y ajustes de parte de jurídica de IDEAM.
3. Reuniones entre las dos entidades para aclarar dudas entre las dos entidades.
4. Recolección de Documentos necesarios para llevar a cabo la firma de los directores de las dos entidades.
5. Contratación de profesionales y adquisición de equipos en el marco del convenio. 
7. Acuerdos sobre productos a generar en el Marco del convenio.
8. Ejecución del Convenio.
1. Construir la línea de base de los datos históricos  hidrometeorologicos del IDIGER
2. Identificar y preparar los datos faltantes que están en el SIRE y no en el SAB
3. Obtener la totalidad de archivos de datos históricos alojados fuera del SAB y el SIRE
4. Identificar y preparar los datos faltantes que están en los archivos de datos históricos y no en el SAB.
5. Preparar el proceso de consolidación de datos históricos en un único repositorio.
6. Ejecutar el proceso de consolidación de datos históricos en un único repositorio.</t>
  </si>
  <si>
    <t>100% de productos asociados al estado del tiempo y actualización de 100% de las bases de datos para analisis de variabilidad climática y cambio climático</t>
  </si>
  <si>
    <t>1. Reuniones Interinstitucionales
2. Definición de Lineamientos
3. Socialización Interinstitucional
4. Construcción del DTS</t>
  </si>
  <si>
    <t xml:space="preserve">Documento con los  lineamientos  para la realizacion de los estudios detallados de amenaza y riesgo por fenomenos de inundacion </t>
  </si>
  <si>
    <t>1. Socialización a entidades de la propuesta de ajuste de la Resolución 227 de 2006 a las entidades por parte del Director IDIGER.
2. Respuesta a las observaciones planteadas.
3, Publicación en la página web para consulta de usuarios y recepción de observaciones.
4. Revisión de observaciones
5. Publicación de la Resolución. 
6. Implementación de la propuesta de modificación.</t>
  </si>
  <si>
    <t>1. Reuniones Interinstitucionales
2. Definición de Articulado de Gestión del Riesgo
3. Definición del Articulado de Gestión del Cambio Climático. 
4. Priorización de Estudios de Detallle para áreas con Condición de Amenaza
Priorización de Estudios de Detallle para  reas con Condición de Riesgo
Programas y Proyectos
Construcción del DTS</t>
  </si>
  <si>
    <t>Documento de Articulado, Priorización de Estudios, Programas y Proyectos con Soporte Técnico</t>
  </si>
  <si>
    <t xml:space="preserve">1. Analisis del nuevo POT e identificación del instrumento que requiere el desarrollo de analisis de riesgo y estudio detallado . 
2.  Propuesta de lineamiento por instrumento identiificado.
3. Socialización de la propuesta de lineamiento con los usuarios del instrumento de planificación identificado. 
4. Ajustes al lineamiento.
5. Emisión y publicación del lineamiento por instrumento identiificado. </t>
  </si>
  <si>
    <t xml:space="preserve">Documento con los  lineamientos  para la realizacion de los analisis de riesgo y estudios detallados por instrumento de planificación analisado. </t>
  </si>
  <si>
    <t>Peso porcentual</t>
  </si>
  <si>
    <t>1. Planteamiento de estrategías de comunicación para la divulgación de las actividades y talleres que las diferentes áreas realicen a la comunidad. 
2. Diseño y ejecución de la estrategia de comunicacion para las doce (12) campañas que se realizarán.</t>
  </si>
  <si>
    <t>Fortalecer el conocimiento en gestión de riesgos y cambio climático</t>
  </si>
  <si>
    <t>Capacitación a peridistasen el tema de gestión de riesgos y cambio climático</t>
  </si>
  <si>
    <t>Número de propuestas tecnicas y juridicas de ajuste de la Resolución 227 de 2006
Código CR-IE-007</t>
  </si>
  <si>
    <t xml:space="preserve">2.3 Generar documentos técnicos con lineamientos para la elaboración de estudios e  instrumentos para POT y riesgos por movimientos en masa </t>
  </si>
  <si>
    <t>2.5 Realizar una capacitación anual para comunicadores sociales y periodistas en Gestión de Riesgos y Cambio Climático</t>
  </si>
  <si>
    <t>Metas</t>
  </si>
  <si>
    <t>Indicadores</t>
  </si>
  <si>
    <t>Subdirector de Reducción y Adaptación al Cambio Climático</t>
  </si>
  <si>
    <t xml:space="preserve">Seguimiento  a las acciones del MIPG-SIG
7 Dimensiones MIPG 
Seguimiento a Políticas aplicables a la Entidad
Actualización de los 16 autodiagnósticos con los resposables de las politicas
Socialización a toda la Entidad MIPG y las responsabilidades de tosod los funcionarios y contratistas </t>
  </si>
  <si>
    <t>Acciones MIPG ejecutadas</t>
  </si>
  <si>
    <t>1. Estructurar la estrategia
2. Definir los contenidos asociando los conceptos de calidad, calidez y coherencia
3. Definir la población Objetivo
4 Definir las fases o etapas
5. Establecer como se hará la divulgación
6. Definir el cronograma
7. Aprobación del documento"</t>
  </si>
  <si>
    <t>Estrategia de sensibilización elaborada y aprobada</t>
  </si>
  <si>
    <t>4.2 Construir nueve (9) obras de mitigación para la reducción del riesgo de desastres.</t>
  </si>
  <si>
    <t>6. Implementar la estrategia del servicio a la ciudadanía y a los grupos de interés del IDIGER, brindando soluciones integrales para el acceso a la información y mejora en la prestación de los servicios, procurando calidad, calidez y oportunidad en armonía con los principios de transparencia, prevención y lucha contra la corrupción.</t>
  </si>
  <si>
    <t xml:space="preserve">6.1.Desarrollar e implementar 1 estrategia de sensibilización y fortalecimiento de las capacidades de funcionarios(as) y contratistas de la Entidad bajo los conceptos de calidad, calidez, coherencia y oportunidad en el servicio a la ciudadanía. </t>
  </si>
  <si>
    <t>Porcentaje de acciones de articulación y dinamización del SDGR-CC realizadas
DE-IG-001</t>
  </si>
  <si>
    <t xml:space="preserve">En 2020 de ejecutó convenio con el IDEAM se realizaron 3 actualizaciones diarias de pronòstico del tiempo y se generaron 273 boletines del estado del tiempo. </t>
  </si>
  <si>
    <t xml:space="preserve">Se realizó la contratación del profesional para a cargo de la consolidación de la base de datos de las estaciones del IDIGER, así como con la contratación del equipo de profesionales para generar productos derivados de consolidación de dicha base, el cual inicio la verificación de productos a generar. </t>
  </si>
  <si>
    <t>Se inició abordaje de las nuevas observaciones planteadas por el Grupo POT a la propuesta técnica de términos de referencia. Por otro lado se proyectó comunicación hacia la Oficina de Control Interno - OCI, con el fin de plantear aplazamiento a julio 30 de 2021 para dar cumplimiento a la acción relacionada con la modificación de la Resolución 227-2006.</t>
  </si>
  <si>
    <t>Programada iniciar en mayo</t>
  </si>
  <si>
    <t>1 Documento con propuesta tecnica  y juridica de ajuste de la Resolución 227 de 2006.</t>
  </si>
  <si>
    <t>Se proyecta para junio</t>
  </si>
  <si>
    <t>Identificar el inventario de información geográfica del IDIGER.
Definir la información a mostrar en visores geográficos.
Desarrollar visores geográficos con información de interés para la ciudadanía, y demás actores y grupos de interés en la gestión del riesgo.</t>
  </si>
  <si>
    <t>3.1 Gestionar el desarrollo del 100% de las soluciones priorizadas.</t>
  </si>
  <si>
    <t>1. Consolidar los requerimienros de soluciones informáticas.
2. Verificar los requerimientos y establecer si o no se pueden realizar
3. De los requerimientos consolidados y viables priorizar la realización de los mismos</t>
  </si>
  <si>
    <t>Realizar el desarrollo con estándares de calidad de los aplicativos informáticos que soportan las actividades en cumplimiento de los requerimientos priorizados.</t>
  </si>
  <si>
    <t xml:space="preserve">Se tienen pendientes 19 requerimientos no misionales, se tienen priorizados los misionales. </t>
  </si>
  <si>
    <t>2 Visores geográfico</t>
  </si>
  <si>
    <t>Número de visores implementados
TI-IE-88</t>
  </si>
  <si>
    <t xml:space="preserve">Para este periodo se resalta el desarrollo in house de las capas geograficas, capas de edición, capas de información, capas de ambientación 3D. Actualización y creación de herramientas (Widget) para el análisis geográfico de los eventos
reportados. De la aplicación "Simulación de Emergencia". </t>
  </si>
  <si>
    <t>Subdirector de Reducción y Adpatación al Cambio Climático</t>
  </si>
  <si>
    <t>Número de cuerpos de agua intervenidos RR-IE-015</t>
  </si>
  <si>
    <t>4.1Atender los doscientos (200) cuerpos de agua programados con actividades de limpieza.</t>
  </si>
  <si>
    <t>Reducción de riesgos asociados a inundación por obstrucción al flujo del agua debido a la acumulación de residuos solidos.</t>
  </si>
  <si>
    <t xml:space="preserve">1. Gestion administrativa de recursos 
2. Cronograma de los convenios para la liempiza de cuerpos de agua 
3. Visitas de seguimiento a la intervencion del cuerpo de agua </t>
  </si>
  <si>
    <t>1. Estructuración del proceso precontractual y contractual para la ejecución de obras.
2. Ejecución de obra.</t>
  </si>
  <si>
    <t>Obras ejecutadas</t>
  </si>
  <si>
    <t>4.3 Adecuar (600) predios resultado del proceso de reasentamiento de familias en alto riesgo no mitigable.</t>
  </si>
  <si>
    <t>1. Demolición de viviendas, recolección y disposición de RCD, cerramiento y señalización, mediante contratos de obra.</t>
  </si>
  <si>
    <t>Predios adecuados</t>
  </si>
  <si>
    <t>Número de predios adecuados producto del proceso de reasentamiento
RR-IE-013</t>
  </si>
  <si>
    <t>En mayo 2021 entregan la obra mitiagacion Los Laches adjundicada en diciembre de 2020.
Para 2021 se tienen programadas 3 obras. (i) (Peñón del Cortijo ya tiene CDP) , (ii) Dinino Niño y (iii) El Codito</t>
  </si>
  <si>
    <t>En 2021 se realizará la estrcuturación de la estratégia, la definición de los componentes y se presentará al CIDG para su aprobación e implementación en 2022.</t>
  </si>
  <si>
    <t>Porcentaje de avance de la implementación de la estrategia de sensibilización del fortalecimiento de capacidades
AC-IG-018</t>
  </si>
  <si>
    <t>Como es una meta constante programa en 100% no suma por tanto no acumula</t>
  </si>
  <si>
    <t>5. Fortalecer el manejo de emergencias, calamidades y/o desastres en el marco del SDGR – CC en Bogotá D.C.</t>
  </si>
  <si>
    <t>1. Planteamiento de temas para la capacitación, estrategia de divulgación, medio de realización.
2. Diseño de piezas comunicativas para la invitación
3. Divulgación de la invitación a los periodistas
4. Realización de la capacitación</t>
  </si>
  <si>
    <t>ENE</t>
  </si>
  <si>
    <t>FEB</t>
  </si>
  <si>
    <t>MAR</t>
  </si>
  <si>
    <t>ABR</t>
  </si>
  <si>
    <t>MAY</t>
  </si>
  <si>
    <t>JUN</t>
  </si>
  <si>
    <t>JUL</t>
  </si>
  <si>
    <t>AGO</t>
  </si>
  <si>
    <t>SEP</t>
  </si>
  <si>
    <t>OCT</t>
  </si>
  <si>
    <t>NOV</t>
  </si>
  <si>
    <t>DIC</t>
  </si>
  <si>
    <t xml:space="preserve">Operar un (1) Centro Distrital Logístico y de Reserva del IDIGER para un servicio 7X24 los 365 días.
1. Revisión y mantenimiento de equipos y suministros en general del CDLyR.
2. Recepción, almacenamiento, alistamiento, transporte y entrega de suministros
3. Recepcionar, almacenar, alistar, transportar y entregar suministros  en el marco de la función logística.
Entregar ayudas humanitarias de carácter no pecuniario a la población afectada por emergencias. </t>
  </si>
  <si>
    <t>Entregar ayudas humanitarias</t>
  </si>
  <si>
    <t>Estructurar y elaborar documentos y lineamientos técnico que sirvan de insumo para la estratégia EDRE</t>
  </si>
  <si>
    <t xml:space="preserve">Estrategia Distrital de Respuesta ante Emergencias, Servicios y funciones de respuesta (Versión 2021)
Estudios de caso donde se aprecie la implementación de la EDRE – MA
Sistemas de información para el manejo de emergencias y desastres actualizados
Documentos que permitan el Fortalecimiento del Sistema Distrital de Gestión de Riesgos y Cambio Climático.
Lineamientos para el plan de acción para la recuperación ante un terremoto.
Diagnóstico de la capacidad de respuesta del distrito ante emergencias
</t>
  </si>
  <si>
    <t xml:space="preserve">Sensibilización a las comunidades sobre el Sistema Comunitarios de Alertas Tempranas 
Sensibilización a   CLGR  sobre el Sistema de alerta  
Gestión con gest@r local de gestión de riesgo la identificación  de  grupos o colectivos conformados entorno al Manejo y preparación para la Respuesta con enfasis en el desarrollo de Sistemas  de Alerta comunitario.
Gestión con las depencencias del IDIGER  para la definición de espacios de coordinación en torno a los sistemas de alerta 
</t>
  </si>
  <si>
    <t>Población fortalecida en torno a los sistemas de alerta Comunitario. 
CLGR fortalecidos en torno a los sistemas de alerta Comunitario. 
Aciones gestionadas para la identificación de actores locales
Espacios de coordinación gestionados</t>
  </si>
  <si>
    <t>.75</t>
  </si>
  <si>
    <r>
      <t>2.4 Realizar  campañas educativas en las localidades priorizadas de Bogotá, D. C. sobre la gestión del riesgo y cambio climático.</t>
    </r>
    <r>
      <rPr>
        <sz val="8"/>
        <color rgb="FFFF0000"/>
        <rFont val="Arial Nova Light"/>
        <family val="2"/>
      </rPr>
      <t xml:space="preserve"> </t>
    </r>
  </si>
  <si>
    <t>PLAN ESTRATÉGICO INSTITUCIONAL - PEI 2020 - 2024</t>
  </si>
  <si>
    <t>Pendiente definir el número de periodistas y comunicadores sociales a capacitar</t>
  </si>
  <si>
    <t>Se han elaborado 8 documentos ( "Estandarización información requerida de Alcaldías Locales para Planes de Emergencia y Contingencia 2021"  2. "Lineamientos para la elaboración de Dx de capacidad de respuesta a emergencias SDGR-CC. 3. Formulación en versión inicial y propuesta de seguimiento al Plan de Acción específico Semana Santa. 4. Documento lineamientos para la elaboración del diagnóstico de capacidad de respuesta – versión inicial,  1. Elaboración de Línea base diagnóstica para actualización - Estrategia Distrital de Respuesta a Emergencias - Marco de Actuación. 2. Segunda versión del Protocolo distrital de poda y tala de árboles en riesgo de caída y situaciones de emergencia. 3. La Guía distrital para elaboración de evaluación de daños, riesgos y análisis de necesidades ante posibles afectaciones del sector agropecuario por emergencias asociadas a heladas, granizadas e incendios de la cobertura vegetal, así como la propuesta del formato de registro usuarios activos afectados por heladas, granizadas e incendio de la cobertura vegetal. 4.Se presenta el Protocolo distrital para la atención y asistencia integral masiva de comunidades. 5. Documento Lineamientos para la construcción del plan de acción para la recuperación ante un terremoto.</t>
  </si>
  <si>
    <t>Se han sensibilizado 463 personas  en Sistemas Comunitarios de Alerta Temprana y Sistema de Alerta Bogotá a un total de 50 personas entre funcionarios y población en general</t>
  </si>
  <si>
    <t>Avance cualitativo</t>
  </si>
  <si>
    <t xml:space="preserve">Acciones para el SDGR-CC desarrolladas.
</t>
  </si>
  <si>
    <t xml:space="preserve">1 Documento de propuesta de modificación del Decreto 172 de 2014 para revisión del Consejo Distrital de Riesgos </t>
  </si>
  <si>
    <t xml:space="preserve">Revisar y analizar el Decreto
Realizar a las diferentes instancias los comentarios a la operación de cada una
Proyectar la modificación </t>
  </si>
  <si>
    <t xml:space="preserve">Modificaciòn al Decreto 172 de 2014 aprobado por la Alcaldía </t>
  </si>
  <si>
    <t>No Acumula
47,1% en 2021</t>
  </si>
  <si>
    <t>Avance por Objetivo</t>
  </si>
  <si>
    <t>Código:                          DE - FT -  53</t>
  </si>
  <si>
    <t>Vigente Desde:            15/12/2020</t>
  </si>
  <si>
    <t xml:space="preserve">Versión:                            9  </t>
  </si>
  <si>
    <t>1.2. Modificar el Decreto 172 de 2014 que permita optimizar la gestión de las instancias y fortalecer su operación.</t>
  </si>
  <si>
    <t>Se proyecta iniciar esta actividad a partir de junio</t>
  </si>
  <si>
    <t>Se han entregafo 5423 ayudas humanitariass</t>
  </si>
  <si>
    <t>Programación 2021</t>
  </si>
  <si>
    <t>Ejecutado2020</t>
  </si>
  <si>
    <t>Revisar la programación de esta meta acorde a los recursos asignados.</t>
  </si>
  <si>
    <t>Se ha avanzado en el plan de acción del MIPG de acuerdo a lo programado, se realizaron las consolidaciones y publicaciones de los informes de ley como el PAAC e riesgos de corrupción, se registro el avance de las políticas MIPG en el FURAG, se ha realizado el monitoreo y seguimiento a los planes de acción y proyectos de inversión de la Entidad. Se ha adelantado la actualización de documentación del SIG, se realizaron los 12 planes estratégicos en el marco del Decreto 612 de 2018 , se encuentran publicados.</t>
  </si>
  <si>
    <t xml:space="preserve">Durante las actividades de concertación que se viene adelantando con la Corporación Autónoma Regional - CAR y la Secretaria Distrital de Planeación - SDP, en el proceso de incorporación de la Gestión de Riesgo en el POT y los estudios básicos, programas y proyectos; se realizó la definición de responsabilidades de los diferentes actores, los cuales serán la base para la formulación de los lineamientos o criterios que se requieren construir para los fenómenos amenazantes de Movimientos en masa, Avenidas torrenciales, Incendios Forestales e Inundaciones y que se reflejarán en la propuesta del articulado que será radicado por la Alcaldía Mayor de Bogotá en el mes de Mayo. </t>
  </si>
  <si>
    <t>Se consolidó y divulgó a través de los canales virtuales del IDIGER la campaña del año enfocada a la Primera Temporada de Lluvias, se realizó pauta en medios digitales, impresos, emisoras comunitari s y distritales. Se desarrolló también free press para alcanzar el objetivo trazado de impactar con el mensaje de la Primera Temporada de Lluvias</t>
  </si>
  <si>
    <t xml:space="preserve">Se han intervenido 387 cuerpos de agua en el marco del Convenio No. 531 de 2020 y este es verificado primeros 15 dias del mes siguiente por parte del supervisor que es la EAAB, quien valida el informe para la realización de los pagos. </t>
  </si>
  <si>
    <t>%</t>
  </si>
  <si>
    <t>Ejecutado
2020</t>
  </si>
  <si>
    <t>5.2 Gestionar el 100% de las acciones encaminadas al fortalecimiento de las capacidades de respuesta a emergencias.l.</t>
  </si>
  <si>
    <t xml:space="preserve"> Durante Este semestre se ralizaron las siguientes actividades relevantes:
* Formulación y seguimiento al PAAC y mapa de riesgos de corrupción..
+Asesoramiento, acompañamiento y seguimiento a los procesos en la formulación de la estrategia de la política antitrámites MIPG.
*Formulación y seguimiento a planes de mejoramiento.
* Actualizaicón de Documentos de los procesos.
*  Reporte y seguimiento plande acción de gestión Institucional.
</t>
  </si>
  <si>
    <t>No se realizó la actividad que se tenia programada para este mes, debido a que la convocatoria de los periodistas se ha complicado por el tercer pico de la pandemia. Para garantizar la participación de varios periodistas interesados en el evento, se decide aplazar su realización para el mes de julio.</t>
  </si>
  <si>
    <t>Durante este primer semestre se realizó  de manera virtual la campaña "Semana Ambiental". Se divulgaron todas las actividades en los canales de comunicación internos y externos, convocando a la ciudadanía en general a participar de interesantes charlas sobre el tema. Algunos profesionales del área participaron como moderadores en las charlas del evento.</t>
  </si>
  <si>
    <t>Durante  el primer semtre no se realizaron  Boletines  asociados al estado del tiempo, debido  que a la fecha no se cuenta con convenio del IDEAM,  sin embargo se han adelantado las siguientes tareas: 
1. Se hicieron mesas técnicas con el IDEAM en donde se revisaron y concretaron los costos de requerimientos de la infraestructura necesaria para la elaboración de los productos  que se llevaran a cabo en el marco del Convenio. 
2.los costos se incorporaron en los Estudios Previos  los cuales se enviaron a jurídica del IDEAM ya revisados por jurídica del IDIGER. 
Se recibió de parte del IDEAM la notificación de que estos Estudios Previos fueron aceptados, lo cual permitió seguir avanzando en este proceso
3.Se realizaron mesas de trabajo con jurídica del IDIGER  y con el área precontractual en donde se reunieron todos los documentos necesarios tales como estudios de mercado y estudio de sector para ser presentados al Comité de contratación. 
4 Se le envió al IDEAM una propuesta de minuta  y la complementación de otros documentos para revisión. 8. Se está a la espera de las decisiones  que se tomen en el Comité de Contratación para continuar con este proceso y así dejar lista la documentación para firmas de los directores o de la delegación de parte de ellos.</t>
  </si>
  <si>
    <t xml:space="preserve">Durante el  primer semestre  en los meses de Abril, Mayo y Junio se realizaron actividades  relacionadas c  productos generados y base de datos hidrometeorológicas actualizadas para adaptación al cambio climático .
Entre las más significativas están:
* Preparación del espacio de almacenamiento para la consolidación de datos históricos 
* Implementación de herramienta para descarga de datos históricos del SIRE y SAB versión inicial SQL 
*Implementación de herramienta para descarga de datos históricos del SIRE y SAB versión final: Descarga directa a Excel 
*Consolidación de 8 estaciones priorizadas de SIRE y SAB de precipitación y temperatura con corte 31-DIC-2020 
* Entrega del procedimiento final al grupo de trabajo y soporte a la herramienta final basada en descarga directa a Excel y lista de estaciones desde fuente externa consolidada
*Verificación de la base de datos de 4 estaciones de precipitación de acuerdo a la priorización
* Análisis y verificación de las bases de datos de las estaciones de temperatura de acuerdo al procedimiento acordado, se establecieron rangos preliminares que permiten la pre-validación  de datos.
* Análisis de eventos ocurridos durante los años 2018, 2019 y 2020 (641 Eventos), que permitió la generación de umbrales de lluvia por encharcamiento asociado a las estaciones Francisco I, Colegio Agustin Fernández y Fundación Ana Restrepo del Corral. </t>
  </si>
  <si>
    <t xml:space="preserve">Durante el primer Semestre  se realizó una sobreejecución  en el mes de  Mayo y Junio debido a  las si
guientes acciones; durante el mes de Mayo   se ejecutaron 5 acciones principales: 1) Se entregaron respuestas ante observaciones del Grupo Estratégico;
 2) Se generó reunión con Oficina Asesora Jurídica - OAJ para análisis de su propuesta jurídica, entregando su documento corregido y los soportes normativos de nuestros comentarios para su respectiva evaluación; 
3) Se atendieron las observaciones del Grupo Estratégico y de OAJ,  generando nueva versión de la propuesta técnica de términos de referencia; 
4) Se coordinó con Oficina de Comunicaciones la generación del Banner para la publicidad de la norma;
 5) Se coordinó con TIC's lo concerniente a la página Web de prueba, necesaria para la visualización preliminar de servidores y directivos previo a la socialización de la propuesta normativa en la página Web del IDIGER. 
En el mes de  Junio se realizó las siguientes actividades:
 1) Se entregó en reunión entre CPT y la SARECC del 04 de junio, el link de la página web de prueba buscando que se den directrices sob
re la socialización de la propuesta de sustitución de la Resolución 227 de 2006; 2) Se entregó cronograma actualizado para la publicidad de la propuesta y adopción de la norma que sustituya la mencionada resolución; 
3) Se generó y remitió vía mail el archivo actualizado con la presentación de la 227. del hallazgo IEC20-1.
 </t>
  </si>
  <si>
    <t xml:space="preserve">Durante el primer semestre se realizó  el e avance  de lineamientos para estudios detallados de amenaza y riesgo por fenomenos de inundación durante los meses de Mayo y Junio . 
Se avanzó en las siguientes actividades:
* Se realizó la recopilación de información, identificando las responsabilidades de las entidades frente al tema de estudios de detalle y medidas de intervención, concluyendo que deben estar a cargo de la Empresa de Acueducto y Alcantarillado de Bogotá - EAAB. 
*Se espera en los meses siguientes trabajar con dicha entidad en la construcción de los lineamientos para dichos estudios. Por otro lado, se solicitó a la Secretaría Distrital de Planeación un aumento en los plazos de entrega de dichos lineamientos. 
</t>
  </si>
  <si>
    <t>Durante el primer semestre se avanzó  en 40  lineamientos y/o criterios con medidas de reducción y adaptación al cambio climatico  durante los meses  Marzo, Abril, Mayoy Junio
.</t>
  </si>
  <si>
    <t>100.00</t>
  </si>
  <si>
    <t>200.00</t>
  </si>
  <si>
    <t>150.00</t>
  </si>
  <si>
    <t>0.00</t>
  </si>
  <si>
    <t>62.50</t>
  </si>
  <si>
    <t>1.00</t>
  </si>
  <si>
    <t>1.25</t>
  </si>
  <si>
    <t>0.83</t>
  </si>
  <si>
    <t>0.63</t>
  </si>
  <si>
    <t xml:space="preserve">Durante el primes semestre  para el mes de Junio de 2021 se tenía programado avance de construcción de componentes por fenómenos amenazantes,  Durante los meses de enero a mayo de 2021, se han realizado diferentes entregas del Documento Tecnico Soporte que compila los componentes por fenómenos amenazantes de movimientos en masa, avenidas torrenciales, incendios forestales e inundaciones. Dichas entregas han sido ajustadas de acuerdo a las observaciones y ajustes recibidas por las diferentes partes involucradas en el proceso. En el mes de Junio se realizó las reuniones de conciliación con la CAR de las cuales surigieron observaciones que fueron desarrolladas por el grupo de trabajo del IDIGER y entregadas a final del mes. </t>
  </si>
  <si>
    <t>5.Fortalecer el manejo de emergencias, calamidades y/o desastres en el marco del SDGR – CC en Bogotá D.C</t>
  </si>
  <si>
    <t>Subdirector de Manejo de Emergencias y desastres</t>
  </si>
  <si>
    <t>Duarante este primer semestre 2021  se realizon  61 acciones necesarias para la articulación y dinamización del Sistema Distrital de Gestión de Riesgos y Cambio Climático, entre estas se destacan :
*    ParticipaciónConsejo Consultivo Distrital de Gestión de Riesgos y Cambio Climatico,
* Reunión de avance en la implementación de las Acciones Afirmativas concertadas con los Pueblos Indígenas 
*.Sesión extraordinaria Comité Operativo Política Pública de Familias (6 de mayo). 8. Reunión interna para el diseño de las Campañas Comunicativas Comunidades Raizal y Negra  
*Reunión compromisos al seguimiento del Plan de Acciones Afirmativas Sector Ambiente y Secretaría de Gobierno - ajuste matrices
* Gestión para contratación referente Rrom. 
* Celebración día de la Familia 
*.Reunión Evaluación Política Pública de Ruralida
 * Reunión con Secretaría de Gobierno para la actualización del plan de acción de la Política de Servicio a la Ciudadanía 
Como es una meta constante programa en 100% no suma por tanto no acumula</t>
  </si>
  <si>
    <t>Durantte el  primer semestre se han entregado  8657 ayudas humanitarias a familias afectadas en situaciones de emergencia garantizando que estas cuenten con elementos que les permita satisfacer sus necesidades básicas de bienestar.</t>
  </si>
  <si>
    <t>Durante el primer semestre en el mes de Mayo se 
se  finalizó la etapa constructiva de la obra del sector los Laches en cumplimiento del objeto y alcance contractual que se estipula en el contrato de obra No. 586 de 2020, con su correspondiente contrato de interventoría No. 579 de 2020.  Se anexan las actas de recibo a satisfacción para los contratos No. 586 y 579 obra e interventoría respectivamente</t>
  </si>
  <si>
    <t>Duarne el  primer semestre no se  adecuarons los predios  producto de reasentamientoe en el mes de Junio, debido a  La OAJ devolvió los estudios solicitando información precisa del costo de demolición de los predios</t>
  </si>
  <si>
    <t>Durante el primer trimestre se  atendieron  110  requerimientode soluciones informaticas. Por otro lado, se ejecuta el nuevo ciclo de desarrollo para la aplicación de Centros de Reserva SLCR.</t>
  </si>
  <si>
    <t xml:space="preserve">Durante el  primer semestre se reaizaron las siguientes actividades:
*se creo un mapa con información geografica, se creo una capa geográfica con la tipificación de los eventos de emergencias 
* Actualización y creación de herramientas (Widget) para el análisis geográfico de los eventos
reportados. De la aplicación "Simulación de Emergencia". 
* se esta trabajando en la estructuración de la arquitectura de datos de la app Simulación de Emergencias.
</t>
  </si>
  <si>
    <t>Durante el   primer semestre en el mes de  Mayo se sobreejecuto  en el número de cuerpos  intervenivos se intervino más de los programados por diferentes solicitudes que se dieron en el mes, como acciones de preventivas de reducción de riesgo en la segunda temporada de lluvias comprendido en el mes de mayo.v</t>
  </si>
  <si>
    <t>Duranre el  primer semestre 2021  se sensibilizarón  a  576 personas en temas relacionados con en la integración de los sistemas de alerta con las comunidades en riesgs  así las cosas  para  el mes de  Enero  93.00 personas,  Febrero   20.00 personas  Marzo 300.00 Personas , Abril 50.00 personas y   mayo 113.00 personas.</t>
  </si>
  <si>
    <t xml:space="preserve"> Durante el  primer semestre 2021  se  han elaborado 7 documentos  con lineamientos técnicos elaborados y socializados a las Entidades Integrantes de la Mesa de Manejo para el Manejo de Emergencia:
1. Plan de Contingencia primera temporada menos lluvias 2021.
2. Plan de Emergencia y Contingencia MONSERRATE
3.Plan de Acción Específico primera temporada de lluvias 2021.
4.Protocolo Poda y Tala: Producto elaborado 
5. Guía EDRAN 
6Plan de Acción Específico - segunda temporada menos lluvias 2021 (Versión para aprobación por la Comisión Distrital para la Prevención y Mitigación de Incendios Forestales).
7Concepto Preparativos para unificación de criterios frente a instrumentos de Gestión de Riesgos desde el proceso Manejo de Emergencias y Desastres..</t>
  </si>
  <si>
    <t>Avance Promedio  por Objetivo</t>
  </si>
  <si>
    <t xml:space="preserve">Porcentaje de cumplimiento acciones implementadas del MIPG - SIG
Código : DE-IG-002 </t>
  </si>
  <si>
    <r>
      <t>2.4 Realizar  campañas educativas en las localidades priorizadas de Bogotá, D. C. sobre la gestión del riesgo y cambio climático.</t>
    </r>
    <r>
      <rPr>
        <sz val="8"/>
        <color rgb="FFFF0000"/>
        <rFont val="Century Gothic"/>
        <family val="2"/>
      </rPr>
      <t xml:space="preserve"> </t>
    </r>
  </si>
  <si>
    <t xml:space="preserve">Código:    DE - FT -  53              </t>
  </si>
  <si>
    <t xml:space="preserve">Versión:      9                   </t>
  </si>
  <si>
    <t xml:space="preserve">Vigente Desde:     15/12/2020       </t>
  </si>
  <si>
    <t>Durante el segundo semestre dell 2021 se realizará la estructuración de la estratégia, la definición de los componentes y se presentará al CIDG para su aprobación e implementación en 2022.</t>
  </si>
  <si>
    <r>
      <t xml:space="preserve">Porcentaje de avance de lineamientos y/o criterios desarrollados
</t>
    </r>
    <r>
      <rPr>
        <b/>
        <sz val="8"/>
        <color theme="1"/>
        <rFont val="Century Gothic"/>
        <family val="2"/>
      </rPr>
      <t>Código : CR-IE-009</t>
    </r>
  </si>
  <si>
    <r>
      <t xml:space="preserve">Porcentaje de avance de construcción de componentes por fenómenos amenazantes que hacen parte del documento
</t>
    </r>
    <r>
      <rPr>
        <b/>
        <sz val="8"/>
        <color theme="1"/>
        <rFont val="Century Gothic"/>
        <family val="2"/>
      </rPr>
      <t>Código : CR-IE-008</t>
    </r>
  </si>
  <si>
    <r>
      <t xml:space="preserve">Porcentaje de lineamientos  para la realizacion de los estudios detallados de amenaza y riesgo por fenomenos de inundación generados 
</t>
    </r>
    <r>
      <rPr>
        <b/>
        <sz val="8"/>
        <color theme="1"/>
        <rFont val="Century Gothic"/>
        <family val="2"/>
      </rPr>
      <t xml:space="preserve">
Código : CR-IE-006</t>
    </r>
  </si>
  <si>
    <r>
      <t xml:space="preserve">Porcentaje de productos del estado del tiempo generados 
</t>
    </r>
    <r>
      <rPr>
        <b/>
        <sz val="8"/>
        <color theme="1"/>
        <rFont val="Century Gothic"/>
        <family val="2"/>
      </rPr>
      <t>Código :  CR-IE-004</t>
    </r>
  </si>
  <si>
    <r>
      <t xml:space="preserve">Porcentaje de acciones de articulación y dinamización del SDGR-CC realizadas
</t>
    </r>
    <r>
      <rPr>
        <b/>
        <sz val="8"/>
        <color theme="1"/>
        <rFont val="Century Gothic"/>
        <family val="2"/>
      </rPr>
      <t>Código :  DE-IG-001</t>
    </r>
  </si>
  <si>
    <r>
      <t xml:space="preserve">Número de campañas educativas realizadas
</t>
    </r>
    <r>
      <rPr>
        <b/>
        <sz val="8"/>
        <color theme="1"/>
        <rFont val="Century Gothic"/>
        <family val="2"/>
      </rPr>
      <t>Código : CE-IE-019</t>
    </r>
  </si>
  <si>
    <r>
      <t xml:space="preserve">Porcentaje de requerimientos de soluciones informáticas implementadas 
</t>
    </r>
    <r>
      <rPr>
        <b/>
        <sz val="8"/>
        <color theme="1"/>
        <rFont val="Century Gothic"/>
        <family val="2"/>
      </rPr>
      <t>Código : TI-IE-111</t>
    </r>
  </si>
  <si>
    <r>
      <t xml:space="preserve">Número de visores implementados
</t>
    </r>
    <r>
      <rPr>
        <b/>
        <sz val="8"/>
        <color theme="1"/>
        <rFont val="Century Gothic"/>
        <family val="2"/>
      </rPr>
      <t>Código : TI-IE-88</t>
    </r>
  </si>
  <si>
    <r>
      <t xml:space="preserve">Número de cuerpos de agua intervenidos
</t>
    </r>
    <r>
      <rPr>
        <b/>
        <sz val="8"/>
        <color theme="1"/>
        <rFont val="Century Gothic"/>
        <family val="2"/>
      </rPr>
      <t>Código: RR-IE-015</t>
    </r>
  </si>
  <si>
    <r>
      <t xml:space="preserve">Número de obras de mitigación para la reducción del riesgo y adaptación al cambio climático ejecutadas
</t>
    </r>
    <r>
      <rPr>
        <b/>
        <sz val="8"/>
        <color theme="1"/>
        <rFont val="Century Gothic"/>
        <family val="2"/>
      </rPr>
      <t>Código:  RR-IE-046</t>
    </r>
  </si>
  <si>
    <r>
      <t xml:space="preserve">Número de predios adecuados producto del proceso de reasentamiento
</t>
    </r>
    <r>
      <rPr>
        <b/>
        <sz val="8"/>
        <color theme="1"/>
        <rFont val="Century Gothic"/>
        <family val="2"/>
      </rPr>
      <t>Código :RR-IE-013</t>
    </r>
  </si>
  <si>
    <r>
      <t xml:space="preserve">Porcentaje de avance de la implementación de la estrategia de sensibilización del fortalecimiento de capacidades
</t>
    </r>
    <r>
      <rPr>
        <b/>
        <sz val="8"/>
        <color theme="1"/>
        <rFont val="Century Gothic"/>
        <family val="2"/>
      </rPr>
      <t>Código :AC-IG-018</t>
    </r>
  </si>
  <si>
    <r>
      <t xml:space="preserve">Porcentaje de cumplimiento acciones implementadas del MIPG - SIG
</t>
    </r>
    <r>
      <rPr>
        <b/>
        <sz val="8"/>
        <color theme="1"/>
        <rFont val="Century Gothic"/>
        <family val="2"/>
      </rPr>
      <t xml:space="preserve">Código : DE-IG-002 </t>
    </r>
  </si>
  <si>
    <r>
      <t xml:space="preserve">Porcentaje de bases de datos actualizadas para la adaptación 
</t>
    </r>
    <r>
      <rPr>
        <b/>
        <sz val="8"/>
        <color theme="1"/>
        <rFont val="Century Gothic"/>
        <family val="2"/>
      </rPr>
      <t>Código : CR-IE-113</t>
    </r>
  </si>
  <si>
    <r>
      <t xml:space="preserve">Número de propuestas tecnicas y juridicas de ajuste de la Resolución 227 de 2006
</t>
    </r>
    <r>
      <rPr>
        <b/>
        <sz val="8"/>
        <color theme="1"/>
        <rFont val="Century Gothic"/>
        <family val="2"/>
      </rPr>
      <t>Código : CR-IE-007</t>
    </r>
  </si>
  <si>
    <r>
      <t xml:space="preserve">Número de periodistas y/o comunicadores sociales capacitados en gestión de riesgos y cambio climático de los identificados																
</t>
    </r>
    <r>
      <rPr>
        <b/>
        <sz val="8"/>
        <color theme="1"/>
        <rFont val="Century Gothic"/>
        <family val="2"/>
      </rPr>
      <t>Código : CE-IE-021</t>
    </r>
  </si>
  <si>
    <t>Durante el primer semestre  o se realizó la actividad que se tenia programada para este mes, debido a que la convocatoria de los periodistas se ha complicado por el tercer pico de la pandemia. Para garantizar la participación de varios periodistas interesados en el evento, se decide aplazar su realización para el mes de julio.
 Durante el  III Trimeste  se capacitaron a 12  periodistas donde  se les informó sobre la Segunda Temporada de Lluvias que se presenta en la capital cada año, informándolos así en gestión de riesgos. Se adjunta como evidencia el listado de asistencia la charla.</t>
  </si>
  <si>
    <t xml:space="preserve">Objetivo Estratégico </t>
  </si>
  <si>
    <t>Grado de Cumplimiento Promedio por objetivo estratégico  y de la calidad</t>
  </si>
  <si>
    <t>Grado Cumplimiento Metas Estratégicas</t>
  </si>
  <si>
    <t>Objetivo Estratégico  1</t>
  </si>
  <si>
    <t>Objetivo Estratégico  2</t>
  </si>
  <si>
    <t>Objetivo Estratégico  3</t>
  </si>
  <si>
    <t>Objetivo Estratégico  4</t>
  </si>
  <si>
    <t>Objetivo Estratégico  5</t>
  </si>
  <si>
    <t>Objetivo Estratégico  6</t>
  </si>
  <si>
    <t>Objetivo Estratégico  7</t>
  </si>
  <si>
    <t xml:space="preserve"> Meta Estrategica 2.5</t>
  </si>
  <si>
    <t xml:space="preserve"> Meta Estrategica 3.2</t>
  </si>
  <si>
    <t>Meta Estrategica4.2</t>
  </si>
  <si>
    <t>Meta Estratégica 1.1</t>
  </si>
  <si>
    <t>Meta Estratégica 2.1</t>
  </si>
  <si>
    <t>Meta Estratégica 2.2</t>
  </si>
  <si>
    <t xml:space="preserve"> Meta Estratégica 2.3</t>
  </si>
  <si>
    <t>Meta Estratégica 2.4</t>
  </si>
  <si>
    <t xml:space="preserve"> Meta Estratégica 3.1</t>
  </si>
  <si>
    <t>Meta Estratégica 4.1</t>
  </si>
  <si>
    <t>Meta Estratégica 4.3</t>
  </si>
  <si>
    <t>Meta Estratégica 5.1</t>
  </si>
  <si>
    <t>Meta Estratégica 6.1</t>
  </si>
  <si>
    <t xml:space="preserve"> Meta Estratégica 7.1</t>
  </si>
  <si>
    <r>
      <rPr>
        <b/>
        <sz val="8"/>
        <color rgb="FFFF0000"/>
        <rFont val="Arial"/>
        <family val="2"/>
      </rPr>
      <t>1.1</t>
    </r>
    <r>
      <rPr>
        <sz val="8"/>
        <color theme="1"/>
        <rFont val="Arial"/>
        <family val="2"/>
      </rPr>
      <t xml:space="preserve">. Desarrollar el 100% de las acciones necesarias para la articulación y dinamización del Sistema Distrital de Gestión de Riesgos y Cambio Climático </t>
    </r>
  </si>
  <si>
    <r>
      <rPr>
        <b/>
        <sz val="8"/>
        <color rgb="FFFF0000"/>
        <rFont val="Arial"/>
        <family val="2"/>
      </rPr>
      <t>2.1</t>
    </r>
    <r>
      <rPr>
        <sz val="8"/>
        <color theme="1"/>
        <rFont val="Arial"/>
        <family val="2"/>
      </rPr>
      <t xml:space="preserve"> Generar el 100% de los productos asociados al estado del tiempo y actualización de bases de datos para analisis de variabilidad climática y cambio climático</t>
    </r>
  </si>
  <si>
    <r>
      <rPr>
        <b/>
        <sz val="8"/>
        <color rgb="FFFF0000"/>
        <rFont val="Arial"/>
        <family val="2"/>
      </rPr>
      <t>2.2</t>
    </r>
    <r>
      <rPr>
        <sz val="8"/>
        <rFont val="Arial"/>
        <family val="2"/>
      </rPr>
      <t xml:space="preserve"> Emitir lineamientos  para estudios de detalle de riesgo por inundación para ordenamiento y reordenamiento territorial. </t>
    </r>
  </si>
  <si>
    <r>
      <rPr>
        <b/>
        <sz val="8"/>
        <color rgb="FFFF0000"/>
        <rFont val="Arial"/>
        <family val="2"/>
      </rPr>
      <t>2.3</t>
    </r>
    <r>
      <rPr>
        <sz val="8"/>
        <color theme="1"/>
        <rFont val="Arial"/>
        <family val="2"/>
      </rPr>
      <t xml:space="preserve"> Generar documentos técnicos con lineamientos para la elaboración de estudios e  instrumentos para POT y riesgos por movimientos en masa </t>
    </r>
  </si>
  <si>
    <r>
      <rPr>
        <b/>
        <sz val="8"/>
        <color rgb="FFFF0000"/>
        <rFont val="Arial"/>
        <family val="2"/>
      </rPr>
      <t>2.4</t>
    </r>
    <r>
      <rPr>
        <sz val="8"/>
        <rFont val="Arial"/>
        <family val="2"/>
      </rPr>
      <t xml:space="preserve"> Realizar  campañas educativas en las localidades priorizadas de Bogotá, D. C. sobre la gestión del riesgo y cambio climático.</t>
    </r>
    <r>
      <rPr>
        <sz val="8"/>
        <color rgb="FFFF0000"/>
        <rFont val="Arial"/>
        <family val="2"/>
      </rPr>
      <t xml:space="preserve"> </t>
    </r>
  </si>
  <si>
    <r>
      <rPr>
        <b/>
        <sz val="8"/>
        <color rgb="FFFF0000"/>
        <rFont val="Arial"/>
        <family val="2"/>
      </rPr>
      <t>2.5</t>
    </r>
    <r>
      <rPr>
        <sz val="8"/>
        <rFont val="Arial"/>
        <family val="2"/>
      </rPr>
      <t xml:space="preserve"> Realizar una capacitación anual para comunicadores sociales y periodistas en Gestión de Riesgos y Cambio Climático</t>
    </r>
  </si>
  <si>
    <r>
      <rPr>
        <b/>
        <sz val="8"/>
        <color rgb="FFFF0000"/>
        <rFont val="Arial"/>
        <family val="2"/>
      </rPr>
      <t xml:space="preserve">3.1 </t>
    </r>
    <r>
      <rPr>
        <sz val="8"/>
        <rFont val="Arial"/>
        <family val="2"/>
      </rPr>
      <t>Gestionar el desarrollo del 100% de las soluciones priorizadas.</t>
    </r>
  </si>
  <si>
    <r>
      <rPr>
        <b/>
        <sz val="8"/>
        <color rgb="FFFF0000"/>
        <rFont val="Arial"/>
        <family val="2"/>
      </rPr>
      <t>3.2</t>
    </r>
    <r>
      <rPr>
        <sz val="8"/>
        <rFont val="Arial"/>
        <family val="2"/>
      </rPr>
      <t xml:space="preserve"> Fortalecer el 100 % de los componentes de conocimiento del sistema de información de gestión de riesgos y de cambio climático SIRE con enfoque de escenarios. TIC</t>
    </r>
  </si>
  <si>
    <r>
      <rPr>
        <b/>
        <sz val="8"/>
        <color rgb="FFFF0000"/>
        <rFont val="Arial"/>
        <family val="2"/>
      </rPr>
      <t>4.1</t>
    </r>
    <r>
      <rPr>
        <sz val="8"/>
        <rFont val="Arial"/>
        <family val="2"/>
      </rPr>
      <t>Atender los doscientos (200) cuerpos de agua programados con actividades de limpieza.</t>
    </r>
  </si>
  <si>
    <r>
      <rPr>
        <b/>
        <sz val="8"/>
        <color rgb="FFFF0000"/>
        <rFont val="Arial"/>
        <family val="2"/>
      </rPr>
      <t>4.3</t>
    </r>
    <r>
      <rPr>
        <sz val="8"/>
        <rFont val="Arial"/>
        <family val="2"/>
      </rPr>
      <t xml:space="preserve"> Adecuar (600) predios resultado del proceso de reasentamiento de familias en alto riesgo no mitigable.</t>
    </r>
  </si>
  <si>
    <r>
      <rPr>
        <b/>
        <sz val="8"/>
        <color rgb="FFFF0000"/>
        <rFont val="Arial"/>
        <family val="2"/>
      </rPr>
      <t xml:space="preserve">4.2 </t>
    </r>
    <r>
      <rPr>
        <sz val="8"/>
        <rFont val="Arial"/>
        <family val="2"/>
      </rPr>
      <t>Construir nueve (9) obras de mitigación para la reducción del riesgo de desastres.</t>
    </r>
  </si>
  <si>
    <r>
      <rPr>
        <b/>
        <sz val="8"/>
        <color rgb="FFFF0000"/>
        <rFont val="Arial"/>
        <family val="2"/>
      </rPr>
      <t>5.1</t>
    </r>
    <r>
      <rPr>
        <sz val="8"/>
        <rFont val="Arial"/>
        <family val="2"/>
      </rPr>
      <t xml:space="preserve"> Administrar y operar eficientemente un (1) Centro Distrital Logístico y de Reserva</t>
    </r>
  </si>
  <si>
    <r>
      <rPr>
        <b/>
        <sz val="8"/>
        <color rgb="FFFF0000"/>
        <rFont val="Arial"/>
        <family val="2"/>
      </rPr>
      <t>6.1.</t>
    </r>
    <r>
      <rPr>
        <sz val="8"/>
        <rFont val="Arial"/>
        <family val="2"/>
      </rPr>
      <t xml:space="preserve">Desarrollar e implementar 1 estrategia de sensibilización y fortalecimiento de las capacidades de funcionarios(as) y contratistas de la Entidad bajo los conceptos de calidad, calidez, coherencia y oportunidad en el servicio a la ciudadanía. </t>
    </r>
  </si>
  <si>
    <r>
      <rPr>
        <b/>
        <sz val="8"/>
        <color rgb="FFFF0000"/>
        <rFont val="Arial"/>
        <family val="2"/>
      </rPr>
      <t>7.1</t>
    </r>
    <r>
      <rPr>
        <sz val="8"/>
        <rFont val="Arial"/>
        <family val="2"/>
      </rPr>
      <t xml:space="preserve"> Fortalecer los procesos estratégicos, de apoyo y evaluación del IDIGER que soporten la misión institucional en el marco del Modelo Integrado de Planeación y Gestión MIPG y los Sistemas de Gestión. </t>
    </r>
  </si>
  <si>
    <t xml:space="preserve">6. implementar la estrategia del servicio a la ciudadanía y a los grupos de interés del IDIGER, </t>
  </si>
  <si>
    <t xml:space="preserve"> 2Fortalecer y promover el conocimiento del riesgo de desastres y efectos del cambio climático </t>
  </si>
  <si>
    <t xml:space="preserve"> Observaciones</t>
  </si>
  <si>
    <t>Obejtivo 1</t>
  </si>
  <si>
    <t>Obejtivo3</t>
  </si>
  <si>
    <t>Obejtivo4</t>
  </si>
  <si>
    <t>Obejtivo5</t>
  </si>
  <si>
    <t>Obejtivo 6</t>
  </si>
  <si>
    <t>Obejtivo 7</t>
  </si>
  <si>
    <t>x</t>
  </si>
  <si>
    <t>Cuatrienal</t>
  </si>
  <si>
    <t>Programado</t>
  </si>
  <si>
    <t>Porcentaje de acciones de articulación y dinamización del SDGR-CC realizadas</t>
  </si>
  <si>
    <t xml:space="preserve">Porcentaje de productos del estado del tiempo generados </t>
  </si>
  <si>
    <t xml:space="preserve">Porcentaje de productos generados y base de datos hidrometeorológicas actualizadas para adaptación al cambio climático 																</t>
  </si>
  <si>
    <t>Porcentaje de lineamientos para la realizacion de los estudios detallados de amenaza y riesgo por fenomenos de inundación generados</t>
  </si>
  <si>
    <t>Propuesta tecnica y juridica de ajuste de la Resolución 227 de 2006</t>
  </si>
  <si>
    <t>Meta Cuatrienal</t>
  </si>
  <si>
    <t>Meta Vigencia 
2021</t>
  </si>
  <si>
    <t>Obejtivo 2</t>
  </si>
  <si>
    <t xml:space="preserve">Porcentaje de avance de construcción de componentes por fenómenos amenazantes que hacen parte del documento																</t>
  </si>
  <si>
    <t>Porcentaje de avance de lineamientos y/o criterios desarrollados</t>
  </si>
  <si>
    <t xml:space="preserve">Número de campañas educativas realizadas																</t>
  </si>
  <si>
    <t xml:space="preserve">Porcentaje de requerimientos de soluciones informáticas implementadas </t>
  </si>
  <si>
    <t>Visores implementados</t>
  </si>
  <si>
    <t>Número de Cuerpos de agua intervenidos</t>
  </si>
  <si>
    <t>Número de obras de mitigación para la reducción del riesgo y adaptación al cambio climático ejecutadas</t>
  </si>
  <si>
    <t>Número de predios adecuados producto del proceso de reasentamiento</t>
  </si>
  <si>
    <t xml:space="preserve">Porcentaje de ayudas Humanitarias entregadas																</t>
  </si>
  <si>
    <t>Desarrollar 100%  la estrategía y presentarla para aprobación</t>
  </si>
  <si>
    <t>creciente</t>
  </si>
  <si>
    <t xml:space="preserve">Documentos con lineamientos técnicos elaborados y socializados																</t>
  </si>
  <si>
    <t>Programado Cuatrienal</t>
  </si>
  <si>
    <t>Programación 
2021</t>
  </si>
  <si>
    <t>Ejecutado</t>
  </si>
  <si>
    <t>Cumplimiento Corte 30-09-2021</t>
  </si>
  <si>
    <t xml:space="preserve">Grado Cumplimiento Por Meta Estrategica </t>
  </si>
  <si>
    <t xml:space="preserve">Porcentaje de productos generados y base de datos hidrometeorológicas actualizadas para adaptación al cambio climático 	</t>
  </si>
  <si>
    <t xml:space="preserve">Número de campañas educativas realizadas	</t>
  </si>
  <si>
    <r>
      <rPr>
        <sz val="8"/>
        <color rgb="FFFF0000"/>
        <rFont val="Arial"/>
        <family val="2"/>
      </rPr>
      <t xml:space="preserve">5.2 </t>
    </r>
    <r>
      <rPr>
        <sz val="8"/>
        <rFont val="Arial"/>
        <family val="2"/>
      </rPr>
      <t>Implementar el  100% del plan de acción de las actividades de aglomeraciones de público, parques de diversiones, atracciones, dispositivos de entretenimiento y sistemas de transporte vertical.</t>
    </r>
  </si>
  <si>
    <t>Meta Estratégica 5.2</t>
  </si>
  <si>
    <t>Número de periodistas y/o comunicadores sociales capacitados en gestión de riesgos y cambio climático de los identificados</t>
  </si>
  <si>
    <t>Avance en la elaboración de documentos para el fortalecimiento de  de las actividades de aglomeraciones de público, parques de diversiones, atracciones</t>
  </si>
  <si>
    <t>Número de propuestas tecnicas y juridicas de ajuste de la Resolución 227 de 2006</t>
  </si>
  <si>
    <t>Porcentaje de avance de construcción de componentes por fenómenos amenazantes que hacen parte del documento</t>
  </si>
  <si>
    <t>374 predos</t>
  </si>
  <si>
    <t>200 (100%)</t>
  </si>
  <si>
    <t>731 (100 %)</t>
  </si>
  <si>
    <t>200 (100%</t>
  </si>
  <si>
    <t xml:space="preserve">1  (100%) </t>
  </si>
  <si>
    <t>3 (100%)</t>
  </si>
  <si>
    <t>2 ( 100%)</t>
  </si>
  <si>
    <t>1 (100%)</t>
  </si>
  <si>
    <t>145  (100%)</t>
  </si>
  <si>
    <t xml:space="preserve">127 (100%) </t>
  </si>
  <si>
    <t>127 (100%)</t>
  </si>
  <si>
    <t>Programación 2022</t>
  </si>
  <si>
    <t>Programación 2023</t>
  </si>
  <si>
    <t>Programación 2024</t>
  </si>
  <si>
    <t xml:space="preserve"> </t>
  </si>
  <si>
    <t>5.1  Porcentaje  de documentos con lineamiento técnicos  elaborados y socializados  a las entidades   integrantes  de la mesa  de  manejo  para el manejo  de emergencias</t>
  </si>
  <si>
    <t>Estructurar y elaborar documentos</t>
  </si>
  <si>
    <t xml:space="preserve">Estrategia Distrital de Respuesta ante Emergencias, Servicios y funciones de respuesta (Versión 2021)
Estudios de caso donde se aprecie la implementación de la EDRE – MA
Sistemas de información para el manejo de emergencias y desastres actualizados
Documentos que permitan el Fortalecimiento del Sistema Distrital de Gestión de Riesgos y Cambio Climático.
Lineamientos para el plan de acción para la recuperación ante un terremoto.
Diagnóstico de la capacidad de respuesta del distrito ante emergencias
1.  Revisión y mantenimiento de equipos  y suminsitros  en general  del CD Y R
2.  Recpeción y alamacenamiento, aislamiento  y transporte   y entrega de suministros.
3. Recpecionar , almacenar,  alistar  y transportar  y entregar  suminsitros  en el marco de la función  logística.
</t>
  </si>
  <si>
    <r>
      <t>Documentos con lineamientos técnicos elaborados y socializados</t>
    </r>
    <r>
      <rPr>
        <b/>
        <sz val="8"/>
        <color theme="1"/>
        <rFont val="Century Gothic"/>
        <family val="2"/>
      </rPr>
      <t xml:space="preserve">
Código ME-IE-11</t>
    </r>
  </si>
  <si>
    <t>Ejecutado Acumulado corte 30/12/2021</t>
  </si>
  <si>
    <t xml:space="preserve">Duarante este primer semestre 2021  se realizon  61 acciones necesarias para la articulación y dinamización del Sistema Distrital de Gestión de Riesgos y Cambio Climático, entre estas se destacan :
*  ParticipaciónConsejo Consultivo Distrital de Gestión de Riesgos y Cambio Climatico,
* Reunión de avance en la implementación de las Acciones Afirmativas concertadas con los Pueblos Indígenas 
*.Sesión extraordinaria Comité Operativo Política Pública de Familias (6 de mayo). 8. Reunión interna para el diseño de las Campañas Comunicativas Comunidades Raizal y Negra  
*Reunión compromisos al seguimiento del Plan de Acciones Afirmativas Sector Ambiente y Secretaría de Gobierno - ajuste matrices
* Gestión para contratación referente Rrom. 
* Celebración día de la Familia 
*.Reunión Evaluación Política Pública de Ruralida
 * Reunión con Secretaría de Gobierno para la actualización del plan de acción de la Política de Servicio a la Ciudadanía 
Durente el III trimestre se realizarón  60  acciones necesarias para la articulación y dinamización del Sistema Distrital de Gestión de Riesgos y Cambio Climático, entre estas se destacan :
1. Respuesta a encuesta sobre el Sistema de Seguimiento y Evaluación de Políticas Públicas - SSEPP (2 agosto). 2. Aportes a la caracterización del proceso "Direccionamiento Estratégico" (4 agosto). 3. Taller "Enfoques Poblacional-Diferencial y de Género" realizado por SDP (4 agosto). 4. Taller "Señales para caminar hacia la igualdad en los procesos educativos del Sector Ambiente" realizado por la Secretaría de la Mujer (4 agosto). 5. Reunión Sector Ambiente, actividades propuestas para el Festival LGBTI en octubre (5, 19 agosto). 6. Mesa M&amp;E No 18 - Costeo adaptación (DNP)
Durante el IV Trimestre se realizarón   60  acciones necesarias para la articulación y dinamización del Sistema Distrital de Gestión de Riesgos y Cambio Climático, entre estas se destacan :
1 y 2. Participación en reuniones preparativas del simulacro distrital, simulaciones de mesa (1 de octubre, 5 de octubre) 3. Reunion preparativa Plan de Acción Climática (5 de octubre) 4. Sesion 19 Mesa de M&amp;E Adaptación (6 de octubre) 5. Articulación para el seguimiento al acuerdo 790 de 2020 (7 de octubre) 6. Reunión Articulación Inventario Edificaciones y PDGRDCC (8 de octubre) . ENFOCA: 7. reunión de seguimiento a la finalización del curso, con la UNGRD (8 oct). 8. Revisión procedimiento AHCP con las cuatro subdirecciones y jurídica (11 oct). 9. Reu Preparatoria DIÁLOGO INTERCULTURAL, sobre gestión del riesgo climático con pueblos indígenas(12 oct) Acuerdo 790 de 2020 - Acciones Estratégicas FONDIGER (13 octu) 10. Tercera Mesa de seguimiento del Sector Ambiente con la Comunidad Raizal para revisar Acciones Afirmativas (14 oct). 11. Reunión preparatoria interinstitucional - DP
1. Evento IDPAC - Apertura Semana de la Participación (2 de noviembre) 2. Estrategia /política de Participación Ciudadana Sesión 2 (4 de noviembre) 3. Tercer taller Estrategia - Política Participación Ciudadana(11 de noviembre) 4. Planificación y realización de la sesión extraordinaria del Consejo Consultivo Distrital de Gestión de Riesgos y Cambio Climatico (16 nov). 5. Revisión procedimiento AHCP con la Subdirectora de Análisis (17 nov) 6. Reunión Sector Ambiente PP Mujer y Equidad de Género (17 nov). 7. 4to Taller Estrategia - Política Participación Ciudadana (18 de noviembre) 8. Cuarto Foro Distrital GESTIÓN DEL RIESGO POR INCENDIOS FORESTALES (19 de noviembre) 9. Revisión procedimiento AHCP con la Subdirectora de Análisis con Jurídica (19 nov)
1 y 2. Reunión presencial de seguimiento de las Acciones Afirmativas con las Comunidades Indígenas (1 y 15 de dic). 3, 4, 5. ENFOCA: tres encuentros sincrónicos (2, 9 y 15 dic). 6. Comité Operativo para las Familias Extraordinario - CODFA (2 dic). 7. Reunión equipo OAP para la formulación de la estrategia de participación (2 de diciembre) .  8. Sesión ordinaria del Consejo Consultivo de Gestión de Riesgos y Cambio Climático (3 de diciembre)
</t>
  </si>
  <si>
    <t xml:space="preserve">Durante  el primer semtre no se realizaron  Boletines  asociados al estado del tiempo, debido  que a la fecha no se cuenta con convenio del IDEAM,  sin embargo se han adelantado las siguientes tareas: 
1. Se hicieron mesas técnicas con el IDEAM en donde se revisaron y concretaron los costos de requerimientos de la infraestructura necesaria para la elaboración de los productos  que se llevaran a cabo en el marco del Convenio. 
2.los costos se incorporaron en los Estudios Previos  los cuales se enviaron a jurídica del IDEAM ya revisados por jurídica del IDIGER. 
Se recibió de parte del IDEAM la notificación de que estos Estudios Previos fueron aceptados, lo cual permitió seguir avanzando en este proceso
3.Se realizaron mesas de trabajo con jurídica del IDIGER  y con el área precontractual en donde se reunieron todos los documentos necesarios tales como estudios de mercado y estudio de sector para ser presentados al Comité de contratación. 
4 Se le envió al IDEAM una propuesta de minuta  y la complementación de otros documentos para revisión. 8. Se está a la espera de las decisiones  que se tomen en el Comité de Contratación para continuar con este proceso y así dejar lista la documentación para firmas de los directores o de la delegación de parte de ellos.
Durante el III  trimestre se desarrolllaron las siguientes actividades:
Se radica la documentación a la oficina asesora juridica y se  realizan las isguientes observaciones:
* Se reciben las observaciones de oficina jurídica las cuales indican que las necesidades deben ser cubiertas en el marco del convenio 540 de 2016, para lo cual se debe preparar la documentación respectiva. 
* Se elabora el anexo técnico de seguimiento al convenio al convenio producto de la reunión de seguimiento adelantado por los supervisores y delegados al comité con su respectiva acta. 
* Se elabora solicitud de modificación al convenio marco relacionados a modificación, inclusión y eliminación de alcances y compromisos ajustándolo a las necesidades técnicas identificadas en el seguimientos técnico adelantado.
* Actualmente está en revisión de la Oficina Asesora Jurídica.
**La solicitud de modificación al convenio marco 540 de 2016 con el IDEAM, fue revisada por la Oficina Asesora Jurídica  del IDIGER y se elaboró la minuta  de modificación, la cual fue remitida al IDEAM, para su revisión y aprobación, en la actualidad se encuentra en la Oficina Jurídica del IDEAM con los soportes documentales del Director IDIGER.
Durante el IV Trimestre se desarrollaron las siguientes actividades
*Se adelantó comité técnico donde se consolidaron las necesidades técnicas identificadas en el comité anterior y se determinó que era necesario adelantar la contratación de 9 CPS y de 5 contratos de compraventa para dar cumplimiento a los compromisos acordados entre las partes en el marco de convenio 540 de 2016.
*Se elaboró el documento de soporte técnico para solicitar modificar la distribución de los recursos destinados para optimizar la operación del radar meteorológico en el Plan de Acción de los Recursos de FONDIGER, a los proyectos: “Desarrollar actividades de optimización del monitoreo, generación de informes especiales, pronósticos meteorológicos y predicción climática” y “Optimización operación radar meteorológico, mediante el diagnóstico y mantenimiento.
*Se generaron 3 pronósticos del tiempo.
Se ajusto el Plan de Acción de los Recursos de FONDIGER, en relacion a las metas: “Desarrollar actividades de optimización del monitoreo, generación de informes especiales, pronósticos meteorológicos y predicción climática” y “Optimización operación radar meteorológico, mediante el diagnóstico y mantenimiento.
Se generaron 25 pronósticos del tiempo.
Se emitieron los CDP para la contratación de tres meteorólogos y la adquisición de 270 radiosondas.
Se generaron 25 pronósticos del tiempo.
</t>
  </si>
  <si>
    <t>Durante el  primer semestre  en los meses de Abril, Mayo y Junio se realizaron actividades  relacionadas c  productos generados y base de datos hidrometeorológicas actualizadas para adaptación al cambio climático .
Entre las más significativas están:
* Preparación del espacio de almacenamiento para la consolidación de datos históricos 
* Implementación de herramienta para descarga de datos históricos del SIRE y SAB versión inicial SQL 
*Implementación de herramienta para descarga de datos históricos del SIRE y SAB versión final: Descarga directa a Excel 
*Consolidación de 8 estaciones priorizadas de SIRE y SAB de precipitación y temperatura con corte 31-DIC-2020 
* Entrega del procedimiento final al grupo de trabajo y soporte a la herramienta final basada en descarga directa a Excel y lista de estaciones desde fuente externa consolidada
*Verificación de la base de datos de 4 estaciones de precipitación de acuerdo a la priorización
* Análisis y verificación de las bases de datos de las estaciones de temperatura de acuerdo al procedimiento acordado, se establecieron rangos preliminares que permiten la pre-validación  de datos.
* Análisis de eventos ocurridos durante los años 2018, 2019 y 2020 (641 Eventos), que permitió la generación de umbrales de lluvia por encharcamiento asociado a las estaciones Francisco I, Colegio Agustin Fernández y Fundación Ana Restrepo del Corral. 
 Durante el III trimestre se realizarón las siguientes actividades :
*Consolidación, prevalidación y generación de filtros para  8 estaciones adicionales de acuerdo al procedimiento acordado, para un total de 36 estaciones revisadas, para los parámetros de temperatura y precipitación.
*Aplicación de filtros y generación de la base prevalidada de 20 estaciones para un total de 36 estaciones, quedando pendientes 28 estaciones de las 62 estaciones con sensores de temperatura y precipitación. 
* Generación del boletín mensual correspondiente al mes de agosto. Comportamiento de la precipitación, temperatura y niveles de los rios mediante el uso de las bases de dastos.
* Generación de informe quincenal sobre comportamiento del tiempo y distribución espacial de lluvias mediante el uso de las bases de datos
* Se finaliza el análisis de eventos ocurridos durante los años 2015 y 2016  que permitió la actualización de umbrales de lluvia por encharcamiento, para 14 estaciones, para un total de 17 estaciones  en el periodo 2015 a 2020.
Durante el IV Trimestre se realizón las siguientes actividades
**Configuración de la descarga en Excel de estaciones de quinta y sexta fase (28 estaciones)
*Consolidación, pre validación y generación de filtros para  36 estaciones de acuerdo a el procedimiento acordado, para un total de 62 estaciones revisadas.
* Generación del boletín mensual correspondiente al mes de octubre. Comportamiento de la precipitación, temperatura y niveles de los ríos mediante el uso de las bases de datos.
* Generación de informe quincenal sobre comportamiento del tiempo y distribución espacial de lluvias mediante el uso de las bases de datos.
* Actualización de los análisis de umbrales por encharcamiento para las  17 estaciones de acuerdo eventos ocurridos en el  mes de octubre 
*Análisis eventos asociados a reflujo sobre las estaciones del río Tunjuelo
*Se da inicio a la generación de análisis para eventos generados por reflujo debido a niveles altos sobre el río Tunjuelo, lo que permitirá la generación de umbrales por dicho fenómeno sobre las estaciones de nivel del río Tunjuelo. 
Las evidencias del indicador  se encuentran en la siguiente dirección, con acceso abierto. \\172.16.24.243\home\SAB Backup\9 . productos generados y base de datos hidrometeorológicas.</t>
  </si>
  <si>
    <t xml:space="preserve">Durante el primer semestre se realizó  el e avance  de lineamientos para estudios detallados de amenaza y riesgo por fenomenos de inundación durante los meses de Mayo y Junio . 
Se avanzó en las siguientes actividades:
* Se realizó la recopilación de información, identificando las responsabilidades de las entidades frente al tema de estudios de detalle y medidas de intervención, concluyendo que deben estar a cargo de la Empresa de Acueducto y Alcantarillado de Bogotá - EAAB. 
*Se espera en los meses siguientes trabajar con dicha entidad en la construcción de los lineamientos para dichos estudios. Por otro lado, se solicitó a la Secretaría Distrital de Planeación un aumento en los plazos de entrega de dichos lineamientos. 
Durante el  primer semestre no se había programado avance en lineamientos ara estudios detallados de amenaza y riesgo por fenomenos
Duarante el III Trimestre se  realizarón las siguientes  actividades:
e continua con el proceso de revisión de lineamientos de Riesgo por inundación y demás fenómenos amenazantes de origen hidrometeorológico de instrumentos de planificación territorial y del desarrollo. Las evidencias se encuentran en los productos generados en el desarrollo del contrato FONDIGER 125 de 2021. 
Se desarrolló el documento base con los lineamientos para los estudios detallados por inundación para la ciudad de Bogotá, a partir de la consolidación de información relacionada con las buenas prácticas y las acciones internacionales y nacionales realizadas en estudios de riesgo por inundación. 
Durante el IV Trimestre se realizarón as siguientes actividades:
Se ha avanzado en la descripción conceptual de los modelos hidrológicos e hidrodinámicos y otros aspectos para ser tenidos en cuenta en la formulacion de los lineamientos. 
Se realizó la presentación del avance del documento sobre lineamientos para estudios detallados de inundación,  Se incluye entre otros aspectos, la planificación de los estudios de riesgo  de inundaciones y los enfoques metodológicos a tener en cuenta. 
</t>
  </si>
  <si>
    <r>
      <t xml:space="preserve">Durante el primer Semestre  se realizarón las  siguientes actividades significativas :
 * Se generó reunión con Oficina Asesora Jurídica - OAJ para análisis de su propuesta jurídica, entregando su documento corregido y los soportes normativos de nuestros comentarios para su respectiva evaluación; 
* Se atendieron las observaciones del Grupo Estratégico y de OAJ,  generando nueva versión de la propuesta técnica de términos de referencia; 
* Se coordinó con Oficina de Comunicaciones la generación del Banner para la publicidad de la norma;
* Se coordinó con TIC's lo concerniente a la página Web de prueba, necesaria para la visualización preliminar de servidores y directivos previo a la socialización de la propuesta normativa en la página Web del IDIGER. 
 * Se entregó en reunión entre CPT y la SARECC del 04 de junio, el link de la página web de prueba buscando que se den directrices sob
re la socialización de la propuesta de sustitución de la Resolución 227 de 2006; 2) Se entregó cronograma actualizado para la publicidad de la propuesta y adopción de la norma que sustituya la mencionada resolución; 
* Se generó y remitió vía mail el archivo actualizado con la presentación de la 227. del hallazgo IEC20-1.
Duranre el III trimeste se desarrollaron las siguientes actividades:
*Se realizó exposición de la propuesta ante la Subdirectora de Análisis y representantes de OAJ;
 * Se remitió solicitud mail a asesores de la dirección y se atendieron observaciones del asesor Eliécer Arguello, especialmente para que la propuesta técnica y jurídica se compile en un solo documento; 
*Se entregó comunicación interna 2021IE2701 a OCI con relación al hallazgo IEC20-1, carta que incluía el cronograma para la publicidad de la propuesta; *Se actualizó con el archivo único, el link de la página web de prueba https://www.idiger.gov.co/resolucion-227-2006;
 * Se remitieron correos a la OAJ con inquietudes sobre la atención de la Circular SJD 004 de 2021 y con la propuesta de formato con base en lo expresado en dicha circular.
*Se motivó respuesta de la representante OAJ ante inquietudes remitidas por correo sobre el alcance de la Circular SJD 004-2021; 2) Se motivó cambio del link de la página de prueba para dar respuesta ante observación interna; 3) Se realizó reunión con representante de la oficina de Atención al Ciudadano para presentar la propuesta de sustitución de la Resolución y recibir retroalimentación al respecto.
*Se ajustaron banner, propuesta y página de prueba conforme recomendaciones; 2) Se coordinaron con OAJ algunos aspectos importantes para la publicación en página IDIGER y en LegalBog SJD; 3
</t>
    </r>
    <r>
      <rPr>
        <b/>
        <sz val="8"/>
        <color theme="1"/>
        <rFont val="Century Gothic"/>
        <family val="2"/>
      </rPr>
      <t xml:space="preserve">
Durante el IV trimestre  se desarrollaron las siguientes actividades
</t>
    </r>
    <r>
      <rPr>
        <sz val="8"/>
        <color theme="1"/>
        <rFont val="Century Gothic"/>
        <family val="2"/>
      </rPr>
      <t xml:space="preserve">
**Configuración de la descarga en Excel de estaciones de quinta y sexta fase (28 estaciones)
*Consolidación, pre validación y generación de filtros para  36 estaciones de acuerdo a el procedimiento acordado, para un total de 62 estaciones revisadas.
* Generación del boletín mensual correspondiente al mes de octubre. Comportamiento de la precipitación, temperatura y niveles de los ríos mediante el uso de las bases de datos.
* Generación de informe quincenal sobre comportamiento del tiempo y distribución espacial de lluvias mediante el uso de las bases de datos.
* Actualización de los análisis de umbrales por encharcamiento para las  17 estaciones de acuerdo eventos ocurridos en el  mes de octubre 
*Análisis eventos asociados a reflujo sobre las estaciones del río Tunjuelo. 
Control de calidad de la validación adelantada mediante la revisión de fechas de inicio de las 62 estaciones para las variables temperatura y precipitación, la cual permite ajustar las series al dato real para su posterior descarga de datos y ajuste de filtros en las series de datos de algunas estaciones como Independencia y otras, las cuales al momento de revisarla presenta algunas inconsistencias.
* Inicio en la elaboración del documento de diagnóstico inicial que permitirá entender la situación actual de información de acelerógrafos con miras a la realización de un proceso en fases para la consolidación y disponibilidad de datos de sismos.
* Generación del boletín mensual correspondiente al mes de noviembre. Comportamiento de la precipitación, temperatura y niveles de los ríos mediante el uso de las bases de datos.
* Generación de informe quincenal sobre comportamiento del tiempo y distribución espacial de lluvias mediante el uso de las bases de datos.
* Ajuste estadístico a los análisis de umbrales por encharcamiento para las  17 estaciones de acuerdo eventos ocurridos en el  mes de octubre 
*Análisis eventos asociados a reflujo sobre las estaciones del río Tunjuelo, e identificación del tiempo de transito estimado para que se produzca una inundación asociado a reflujo en los sectores evaluados.
*Generación de mapas y gráficas en revisión de anomalías de temperatura y precipitación.
*Generación de tabla de históricos de diarios de precipitación para 61 estaciones y temperatura para 22 estaciones operadas por IDIGER.
 </t>
    </r>
  </si>
  <si>
    <t xml:space="preserve">Durante el primes semestre  , se han realizado diferentes entregas del Documento Tecnico Soporte que compila los componentes por fenómenos amenazantes de movimientos en masa, avenidas torrenciales, incendios forestales e inundaciones. Dichas entregas han sido ajustadas de acuerdo a las observaciones y ajustes recibidas por las diferentes partes involucradas en el proceso. En el mes de Junio se realizó las reuniones de conciliación con la CAR de las cuales surigieron observaciones que fueron desarrolladas por el grupo de trabajo del IDIGER y entregadas a final del mes. 
Durante el III Trimestre  se realizarón las siguientes actividades:
Se presentó en diferentes espacios, los resultados de las zonificaciones para los diferentes fenómenos amenazantes. Las observaciones y retroalimentaciones recibidas serán tenidas en cuenta en las recomendaciones a los ajustes que la Secretaria Distrital de Planeación - SDP está realizando, para que los incluya dentro del Proyecto de Acuerdo que será radicado ante el Concejo Distrtial los primeros 15 días del mes de Septiembre. 
Las reuniones realizadas a lo largo del mes de agosto fueron: 
* Reunión  - CAMACOL.
* Preparación de apoyo técnico a la SDP para el seguimiento del cumplimento de la sentencia del Río Bogotá con la magistrada Nelly Villamizar.
* Se recibió el concepto del Consejo Territorial de la Secretaria Distrital de Planeación. Se anexa en carpeta los diferentes soportes de dicha informació
Se realizó la presentación del documento técnico soporte que compila los componentes por fenómenos amenazantes ante el Concejo de Bogotá el 28 de septiembre de 2021. Actualmente se está dando respuestas a las inquietudes y observacionees realizadas por dicha entidad. Se continúa recibiendo retroalimentaciones de diferentes entidades en relación al documento presentado en meses anteriores.
Durante el IV Trimestre se realizarón las siguientes acitivdades:
Se continua con la respuesta a observaciones ie inquietudes presentadas por los Concejales así como a sus unidades técnicas de apoyo en trabajo articulado con la SDP. 
Se encuentra en debate del proyecto de acuerdo del POT por lo cual se continua con la respuesta a inquietudes y obseravciones realizadas por dicho organismo.  
as acciones desarrolladas en el mes están en función de la revisión del Concejo de Bogotá frente al documento presentado en meses pasado. Aun se encuentra en debate del proyecto de acuerdo del POT por lo cual se continua con la respuesta a inquietudes y obseravciones realizadas por dicho organismo.            </t>
  </si>
  <si>
    <t>Durante el primer semestre se avanzó  en 40  lineamientos y/o criterios con medidas de reducción y adaptación al cambio climatico  durante los meses  Marzo, Abril, Mayoy Junio
Durante el  III Trimestre se han realizado  30 lineamientos  y/o criterios con medidas de reducción y adaptación al cambio climatico  durante los meses   Jualio, Agoso y Septiembre
Durante el IV Trimestre  se  han relaizado  30 30 lineamientos  y/o criterios con medidas de reducción y adaptación al cambio climatico  durante los meses   Octubre, Noviembre y Diciembre
.</t>
  </si>
  <si>
    <t xml:space="preserve">Durante este primer semestre se realizó  de manera virtual la campaña "Semana Ambiental". Se divulgaron todas las actividades en los canales de comunicación internos y externos, convocando a la ciudadanía en general a participar de interesantes charlas sobre el tema. Algunos profesionales del área participaron como moderadores en las charlas del evento.
 Durantel III trimestre  Se realizó  DOS campañas programadas para agosto y octubre. La primera sobre la Segunda Temporada de Lluvias que comenzó a mediados de septiembre. Además se dio inicio a la campaña sobre el Simulacro Distrital de Autoprotección de este año.
Durante el IV trimestre la campaña programada para este mes se adelanto en el mes de septiembre y los primeros días del mes de octubre
</t>
  </si>
  <si>
    <t>Durante el primer trimestre se  atendieron  110  requerimientode soluciones informaticas. Por otro lado, se ejecuta el nuevo ciclo de desarrollo para la aplicación de Centros de Reserva SLCR.
Durante el III Trimeste se atendieron 63  requerimientos  de soluciones informáticas, las cuales estuvieron enfocadas en  actualizaciones SAB y  el  nuestro aplicativo SURE
Durente el IV Trimestre  , se atendiero  34  equerimientos  de soluciones informáticas, las cuales estuvieron enfocadas en  actualizaciones SAB y  el  nuestro aplicativo SURE</t>
  </si>
  <si>
    <t xml:space="preserve">Durante el  primer semestre se reaizaron las siguientes actividades:
*se creo un mapa con información geografica, se creo una capa geográfica con la tipificación de los eventos de emergencias 
* Actualización y creación de herramientas (Widget) para el análisis geográfico de los eventos
reportados. De la aplicación "Simulación de Emergencia". 
* se esta trabajando en la estructuración de la arquitectura de datos de la app Simulación de Emergencias.
Dutanne el III trimestre se realizarón las siguientes actividades:
*Migración de mapas y aplicaciones de ArcGIS Online a Portal for ArcGIS, donde se tiene una cuenta general para la edición y el manejo de las mismas a nivel de usuario de edición general.
 *. Estructuración, depuración y publicación de la información geográfica de localización de la entidad, información de inventario de personal, inventario de herramientas y equipos disponibles a la atención de emergencias en Bogotá de las entidades.
*Creación y estructuración de base de datos para el soporte de preguntas y respuestas por cada rol. 
*Creación de vista que expone la descripción, preguntas, respuestas y acciones complementarias, además de tener imágenes y videos relacionados.
*Modificación en diseño del aplicativo (ambientación). 
* Estructuración y alimentación de base de datos respecto al guión enviado por parte del equipo de manejo para el rol estratégico de las entidades asociadas del sector ambiente (Secretaria de Ambiente, Jardín Botánico e Instituto Distrital de Bienestar y Protección Animal).
*Implementación de chat, para que las entidades con rol estratégico puedan comunicarse durante el juego. 
*Implementación de la vista “Controlador”, con el fin de hacer seguimiento a la cantidad de preguntas y las respectivas respuestas que los usuarios estratégicos van contestando en el tiempo real.
*Adición de capas que ambientan el mapa con las diferentes zonas y puntos de localización (en donde ocurre el evento del sismo)
*Implementación de vista que permite dar inicio al juego y colocar un tiempo límite del mismo.
Durante el IV trimestre  e llevo acabo el Simulacro Distrital donde la app de la referencia fue vital en pro de los objetivos de esta actividad. En el mismo sentido, se cambio de guión definitivo para el evento de simulación de emergencias, creación de juego en la plataforma “Kahoot” para hacer más dinámico el juego de simulación y Creación de servicios rest de ArcGIS con las capacidades de equipos, herramientas y personal encargados de la atención de emergencias en Bogotá.
Durante IV trimestre  se realizar
</t>
  </si>
  <si>
    <t xml:space="preserve">Durante  el primer semestre se intervinieron 129 cuerpos de agua con actividades de limpieza, se intervinieron más de los proyectados en el primer semestre, debido a las   acciones de preventivas de reducción de riesgo en la segunda temporada de lluvias comprendido entre los meses de Abril y Mayo.
Durante el III  Trimestre  se intervinieron  200 cuerpos de agua  con actividades de limpieza, además se realizón las siguientes actividades prinicipales:
*Se elaboraron lo estudios previos del convenio que tiene por objeto “Aunar esfuerzos técnicos, operativos, administrativos y financieros entre la Empresa de Acueducto y Alcantarillado de Bogotá (EAAB), el Instituto Distrital De Gestión Del Riesgo y Cambio Climático – IDIGER y Aguas de Bogotá S.A. E.S.P., para el desarrollo de actividades de retiro de residuos sólidos de canales, quebradas, estructuras y sumideros con el fin de mitigar los efectos del cambio climático y generar bienestar social en el territorio”.
*Se reportan las acciones de intervencion de acuerdo a la programacion en la cuenca media del rio Bogota conformadas por las subcuencas: Tunjuelo, salitre, fucha, tintal y torca. 
*Se realiza la intervencion de los cuerpos de agua programados en la cuenca Fucha, Tintal, Salitre, Tumjuelo y Torca.
Durante el IV trimestre se intervinieron 482  de agua  con actividades de limpieza, además se realizón las siguientes actividades prinicipales:
Se realizó el retiro de residuos de canales y quebradas por medio del convenio inter administrativo 187 de 2021, dando cumplimiento al cronograma establecido. Se apoyó con el evento SIRE 5387161, sobre perdida de verticalidad de arbolado sobre la quebrada del canal Boyacá con alto potencial riesgo de volcamiento que podría generar obstrucción sobre el cuerpo de agua. Una vez se apruebe por parte del supervisor del convenio EAAB el informe de gestión del mes de noviembre 2021, este será verificado con lo reportado 
</t>
  </si>
  <si>
    <t>Durante el primer semestre en el mes de Mayo se  se  finalizó la etapa constructiva de la obra del sector los Laches en cumplimiento del objeto y alcance contractual que se estipula en el contrato de obra No. 586 de 2020, con su correspondiente contrato de interventoría No. 579 de 2020.  Se anexan las actas de recibo a satisfacción para los contratos No. 586 y 579 obra e interventoría respectivamente
Durante el III Trimeste se  ha realizado una (1) obra  de mitigación para la reducción del riesgo de desastres en el mes de Mayo se tiene progmado construir  2 dos obras en el mes de Diciembre para cumplir con las tres (3) obras programas para esta vigencia.
Durante el  IV trimestre  se  re realizarón las siguientes actividades
En el mes de octubre fue adjudicada la obra e interventoría de Peñón del Cortijo fase II el 27 y 28 de octubre respectivamente, y los contratistas adjudicatarios iniciaron proceso de legalización del contrato 
En el mes de octubre fue adjudicada la obra e interventoría de Peñón del Cortijo fase II el 27 y 28 de octubre respectivamente, y los contratistas adjudicatarios continuan proceso de legalización del contrato 
El 01 de diciembre se firmo acta de inicio del contrato de obra 242-2021 y contrato de  intreventoría 236-2021 de Peñón del Cortijo Fase II
El contrato de obra 188-2021  de Divino Niño, continua con un porcentaje de ejecución de 46.50%</t>
  </si>
  <si>
    <t xml:space="preserve">Durante el primer semestreno se  adecuarons los predios  producto de reasentamientoe en el mes de Junio, debido a  La OAJ devolvió los estudios solicitando información precisa del costo de demolición de los predios
Durante e III   trimestre: Los estudios previos se realizaron ajustes de cantidades por costos promedios de predios tipos y se enviaron nuevamente a juridica para la elaboración de la nueva oferta económica, a la espera del visto bueno por parte del area juridica.
Durante el IV trimestre  se realizarón las siguientes actividades:
El 28/10/2021 se realizó en Sistema Electrónico para la Contratación Pública – SECOP II la publicación aviso información del proceso licitatorio de Adecuación de Predios. De acuerdo al cronograma publicado, la adjudicación del proceso será el próximo 21 de diciembre. Dentro de los tres (3) días siguientes a la adjudicación del proceso se realizará la firma y Legalización del Contrato.   
Se resolvieron las observaciones al contrato de obra, el contrato de la interventoría el día 29 de noviembre de 2021 quedó publicado.
</t>
  </si>
  <si>
    <t xml:space="preserve">Durante el  primer semestre   se elaborarón   6 documentos con lineamientos técnicos elaborados  y socializados
Durante  el III  Trimestre  se elaborarón  1 documento  con lineamientos técnicos elaborados  y socializados, para este período se avanzó en la elaboración de documentos, pero no  logró socializarlos.
Durante el IV  se elaborarón 14 docuemnto on lineamientos técnicos elaborados  y socializados, para este período se avanzó en la elaboración de documentos, pero no  logró socializarlos.s </t>
  </si>
  <si>
    <t xml:space="preserve"> Durante este primer  semestre se ralizaron las siguientes actividades relevantes 
* Formulación y seguimiento al Plan Anticorrupción y de Atención al Ciudadano (PAAC)
* Seguimiento al mapa de riesgos institucional
* Asesoramiento y acompañamiento a los procesos en la actualización y publicación de documentos, *Seguimiento a planes de acción de gestión institucional   y planes de mejoramiento 
 *Actualización y seguimiento del menú de transparencia resolución 1518 del 2020 en la página web institucional.
Durante el III Trimestre se de desarrollaron las siguientes actividdes:
*  Se realizó  2do seguimiento cuatrimestral   Plan de Anticorrupción y atención al ciudadano.
* Se relaizó el proceso de rendición de cuentas 2021.
* Se realizón 2do seguimiento cuatrimestral en el  Plan de Riesgos Insitucional .
* Se realizó  avance  en el componente de  racionalización  de Trámites del Plan Anticorrupción y de Atención al Ciudadano 2021.
*Se realizóla formulación plan SGC.
* Se realizó la revisión y actualización  116 documentos.
* Se partició en la gala de reconocimiento de la función Publica participando en la segunda categoria Innovación Insititucional.
* Se avanzó en el mennú de transparencia y  acceso  a la información.
Durante el IV  Trimestre se desarrollaron las siguientes actividades:
Se realizó ajuste  a  158 documentos en el mapa de procesos con el nuevo encabezado y pie de página de acuerdo a al Guia de elaboración de documentos, asismismo se  ajustaron los links con los nombre de los documentos en el mapa de procesos.
*  Se realizó premiación de los participantes de la campaña de expectativa  de gestión del conocimiento y la innovación .
*   Avance de la elaboración de la política y plan de participación ciudadana.
*  Se expidió  la  Resolución n°300 de 2021  del 29/10/2021  “Por medio de la cual se adopta el Esquema de Publicación de Información del Instituto Distrital de Gestión de Riesgos y Cambio Climático – IDIGER, conforme a lo establecido en la Ley 1712 de 2014 y la Resolución 1519 de 2020”" del Instituto Distrital de Gestión de Riesgos y Cambio Climático - IDIGER”
*  Se   realizó el borrador de la actualización de la Guia de Adminstración de riesgos y  la nueva versión  de la herramienta del mapa de riesgos institucional de acuerdo a la última guía de administración del riesgo definida por el DAFP para los riesgosa de gestión, estratégicos, de seguridad de la información y para trámites.
* Se continúa con la actualización del menú de tranparencia y acceso a la información Pública.
*
</t>
  </si>
  <si>
    <t>98% </t>
  </si>
  <si>
    <t>p</t>
  </si>
  <si>
    <t>Porcentaje de productos del estado del tiempo generados 
Código :  CR-IE-013</t>
  </si>
  <si>
    <t>1. Mesas de trabajo entre el IDEAM y el IDIGER para determinar las actividades tendientes a cumplir con los compromisos adquiridos en el marco del convenio 540-2016.
2. Elaboración de estudios previos y documentación interna para la contratación de los profesionales y adquisiciones que se llevarán a cabo para el desarrollo de actividades en aras de dar alcance a los compromisos acordados en el marco del convenio interadministrativo entre el IDEAM y el IDIGER, y su envío a la OAJ y FONDIGER para revisión, ajuste y aprobación conforme sea el caso.
3. Generación y verificación de los productos asociados al estado del tiempo,  derivados de las contrataciones en el marco del convenio. 
4. Ejecución y seguimiento de las actividades asociadas a los compromisos adquiridos en el marco del convenio.</t>
  </si>
  <si>
    <t>1. Actas de las mesas de trabajo entre el IDEAM y el IDIGER para determinar las actividades tendientes a cumplir con los compromisos adquiridos en el marco del convenio 540-2016.
2. Documento de estudios previos y documentación interna para la contratación de los profesionales y adquisiciones que se llevarán a cabo para el desarrollo de actividades en aras de dar alcance a los compromisos acordados en el marco del convenio interadministrativo entre el IDEAM y el IDIGER, y su envío a la OAJ y FONDIGER para revisión, ajuste y aprobación conforme sea el caso.
3. Informes de generación y verificación de los productos asociados al estado del tiempo,  derivados de las contrataciones en el marco del convenio.
4.Actas de ejecución y seguimiento de las actividades asociadas a los compromisos adquiridos en el marco del convenio.</t>
  </si>
  <si>
    <t>Ejecutado
2021</t>
  </si>
  <si>
    <t>Dimensión  MIPG a la que apunta las activudades</t>
  </si>
  <si>
    <t>Responsable (Cargo Directivo)</t>
  </si>
  <si>
    <t>Responsables Operativos</t>
  </si>
  <si>
    <t>3. Gestión con Valores para Resultados</t>
  </si>
  <si>
    <t>Subdirectora Análisis de Riesgos y Efectos del Cambio Climático</t>
  </si>
  <si>
    <t>Luis Antonio Jaramillo Cuestas</t>
  </si>
  <si>
    <t>1. Construir la línea de base de los datos históricos  hidrometeorológicos del IDIGER.
2. Identificar y preparar los datos faltantes que están en el SIRE y no en el SAB
3. Obtener la totalidad de archivos de datos históricos alojados fuera del SAB y el SIRE.
4. Identificar y preparar los datos faltantes que están en los archivos de datos históricos y no en el SAB.
5. Preparar el proceso de consolidación de datos históricos en un único repositorio.
6. Ejecutar el proceso de consolidación de datos históricos en un único repositorio</t>
  </si>
  <si>
    <t xml:space="preserve"> Actualización del 100% de las bases de datos para análisis de variabilidad climática y cambio climático.</t>
  </si>
  <si>
    <t>Luis Antonio Jaramillo Cuestas
Cesar Peña Pinzón</t>
  </si>
  <si>
    <t xml:space="preserve">2.2  Emitir lineamientos  para estudios de detalle de riesgo por inundación para ordenamiento y reordenamiento territorial. </t>
  </si>
  <si>
    <t>Porcentaje de bases de datos actualizadas para la adaptación 
Código :  CR-IE-014</t>
  </si>
  <si>
    <t>Porcentaje de lineamientos  para la realizacion de los estudios detallados de amenaza y riesgo por fenomenos de inundación generados 
Código : CR-IE-015</t>
  </si>
  <si>
    <t>Número de propuestas técnicas y juridicas de ajuste de la Resolución 227 de 2006
Código : CR-IE-016</t>
  </si>
  <si>
    <t>1 Documento con propuesta técnica  y jurídica de ajuste de la Resolución 227 de 2006.</t>
  </si>
  <si>
    <t>Cesar Peña Pinzón</t>
  </si>
  <si>
    <t>Jesús Gabriel Delgado Sequeda
Rafael Arick Prieto Suárez</t>
  </si>
  <si>
    <t>Porcentaje de avance de construcción de componentes por fenómenos amenazantes que hacen parte del documento
Código : CR-IE-017</t>
  </si>
  <si>
    <t>Porcentaje de avance de lineamientos y/o criterios desarrollados
Código : CR-IE-018</t>
  </si>
  <si>
    <t>Finalizado</t>
  </si>
  <si>
    <t>2.4 Definir lineamientos para elaboración de estudios de mitigación del impacto para usos condicionados en Suelos de Protección por Riesgo</t>
  </si>
  <si>
    <t>2.5 Elaborar lineamientos, términos de referencia e indicadores para promover el conocimiento del riesgo en diferentes escenarios</t>
  </si>
  <si>
    <t>Hitos
Hito 1. Identificar los suelos de protección por riesgo definidos para Bogotá D.C y sus usos condicionados=10%
Hito 2. Definir criterios para identificar los posibles impactos generados por el uso condicionado en suelos de protección por riesgo=40%
Hito 3. Recomendaciones de uso adecuados para los SPPR=50%</t>
  </si>
  <si>
    <t xml:space="preserve">Hitos
Hitos 1. Documento de metodología y descripción de resultados de indicadores de riesgo de desastres =25%
Hito 2. Indicadores de amenaza, exposición, fragilidad física, de vulnerabilidad social y de riesgo de desastre a nivel de manzanas, en formatos compatibles con sistemas de información geográfica=25%
Hito 3. Fichas de descripción de medidas de intervención en gestión del riesgo de desastres (máximo 3)= 10%
Hito 4. Base de datos de costos de medidas de intervención en gestión del riesgo de desastres (máximo 3 instrumentos)= 20%
Hito 5:  Informe de metodología para la evaluación de la gestión del riesgo de desastres= 20%
Hitos
Hito 1. Conceptualización de zonas complejas =10%
Hito 2. Diagnóstico de predios ubicados en zonas complejas =25% 
Hito 3. Análisis del marco normativo para identificar aspectos importantes a considerarse en la emisión de conceptos técnicos en zonas complejas=20%
Hito 4. Establecer los criterios y requisitos para la emisión de conceptos técnicos en zonas complejas=45% 
Hitos
Hito1. Estructuración técnica y financiera como insumo para la elaboración de los TdR =40% 
Hito 2. Estudios de mercado =10%
Hito 3. Elaborar los términos de referencia =30%
Hito 4. Concertación y validación técnica de los términos de referencia con EAAB y SDA =20%
</t>
  </si>
  <si>
    <t>lineamientos para elaboración de estudios de mitigación del impacto para usos condicionados en Suelos de Protección por Riesgo</t>
  </si>
  <si>
    <t xml:space="preserve"> Elaborar lineamientos, términos de referencia e indicadores para promover el conocimiento del riesgo en diferentes escenarios</t>
  </si>
  <si>
    <t>Grupo Estratégico (Doris Suaza y Lina Gallego)
Apoyo de la SARECC y SRRACC (Alexander Figueroa)</t>
  </si>
  <si>
    <t xml:space="preserve">Grupo Estratégico (Jairo Valcárcel, Leonardo Sanmiguel y Wilson Paez) - Apoyo SARECC - SRRACC (Claudia Rodríguez)
Grupo Estratégico (Giovanna Portillo, Jairo Valcárcel y Lina Gallego) - Apoyo SARECC (Hidraulico . Geotecnista)
Grupo Estratégico - Apoyo SARECC - Carolina Castañeda y Pedro Rodríguez (Grupo Estructuración de Proyectos)
</t>
  </si>
  <si>
    <t>(4)100%</t>
  </si>
  <si>
    <t>5. Información y Comunicación</t>
  </si>
  <si>
    <t>Asesor en Comunicación</t>
  </si>
  <si>
    <t>Liliana Esquivel Casallas</t>
  </si>
  <si>
    <t>(12)100%</t>
  </si>
  <si>
    <t>Porcentaje de requerimientos de soluciones informáticas implementadas 
Código : TI-IE-011</t>
  </si>
  <si>
    <t xml:space="preserve">Porcentaje de solicitudes  de acceso, capacitación y soporte técnico del Sistema de Información de Riesgos y Emergencias - SIRE PEI.  
CódigoTI-IG-002 </t>
  </si>
  <si>
    <t>Jefe Oficina Tecnologías de la Información y las Comunicaciones</t>
  </si>
  <si>
    <t>Paola Gomez</t>
  </si>
  <si>
    <t>Atender la totalidad de requerimientos registrados en la herramienta de Mesa de Servicios, formatos de usuario, formato de sin pendientes  y/o  correo electronico,  para garantizar la operación del SIRE</t>
  </si>
  <si>
    <t>Informe de requerimientos atendidos durante el periodo a través de la herramienta de Mesa de Servicio, Formatos de usuarios, formato de sin pendientes y/o correo electronico</t>
  </si>
  <si>
    <t>(11)100%</t>
  </si>
  <si>
    <t>Subdirector Reducción del Riesgo y Adaptación al Cambio Climático</t>
  </si>
  <si>
    <t xml:space="preserve">Lina Maria Guerrero Giraldo </t>
  </si>
  <si>
    <t xml:space="preserve">100(200) </t>
  </si>
  <si>
    <t>180%(1457)</t>
  </si>
  <si>
    <t>Número de obras de mitigación para la reducción del riesgo y adaptación al cambio climático ejecutadas
Código:  RR-IE-010</t>
  </si>
  <si>
    <t>Wilson Villaher Pulido Villareal</t>
  </si>
  <si>
    <t>William Galindo</t>
  </si>
  <si>
    <t>4.4  Beneficiar a 350 familias en zonas de alto riesgo no mitigable a través del programa de reasentamiento.</t>
  </si>
  <si>
    <t>Número de familias beneficiadas a través del programa de reasentamiento 
Código :RR-IE-012</t>
  </si>
  <si>
    <t>1. Desarrollar las actividades para el reasentamiento de familias.
2. Compra de predios a familias en alto riesgo no mitigable.</t>
  </si>
  <si>
    <t>Familias Reasentadas en el marco del programa de reasentamientos.</t>
  </si>
  <si>
    <t>Número de predios adecuados producto del proceso de reasentamiento
Código :RR-IE-011</t>
  </si>
  <si>
    <t>Ligia Constanza Cañon Riaño</t>
  </si>
  <si>
    <t>1. Estructurar la estrategia 
2. Definir los contenidos asociando los conceptos de calidad, calidez y coherencia
3. Definir la población Objetivo
4 Definir las fases o etapas
5. Establecer como se hará la divulgación
6. Definir el cronograma
7. Aprobación del documento"</t>
  </si>
  <si>
    <t xml:space="preserve">Subdirectora Corporativa y Asuntos Disciplinarios
Jefe Oficina Asesora de Planeación
Subdirectora de Análisis y Efectos del Cambio Climático
</t>
  </si>
  <si>
    <t>Subdirectora Corporativa y Asuntos Disciplinarios
Jefe Oficina Asesora de Planeación
Subdirectora de Análisis y Efectos del Cambio Climático</t>
  </si>
  <si>
    <t>Direccionamiento Estratégico</t>
  </si>
  <si>
    <t>Jefe Oficina  Asesorade Planeación</t>
  </si>
  <si>
    <t>Jennifer paola Moreno Estrada</t>
  </si>
  <si>
    <t>EJECUTADO</t>
  </si>
  <si>
    <t>Programado
2022</t>
  </si>
  <si>
    <t>10%(100%)</t>
  </si>
  <si>
    <t>5% (100%)</t>
  </si>
  <si>
    <t>Equipo de trabajo  Subdirección  Coorporativa y asuntos disciplinarios
Oficina Asesora de Planeación 
Subdirección de Analisis y efectos del cambio climatico</t>
  </si>
  <si>
    <t>5.1   Porcentaje  de documentos con lineamiento técnicos  elaborados y socializados  a las entidades   integrantes  de la mesa  de  manejo  para el manejo  de emergencias</t>
  </si>
  <si>
    <t>Eduardo Santos</t>
  </si>
  <si>
    <t>Porcentaje de acciones de articulación y dinamización del SDGR-CC realizadas
Código :  DE-IG-001</t>
  </si>
  <si>
    <t>Claudia Sandoval</t>
  </si>
  <si>
    <t>Porcentaje de avance en la formulación de lineamientos para elaboración de estudios de mitigación del impacto para usos condicionados en Suelos de Protección por Riesgo
Código : CR-IE-019</t>
  </si>
  <si>
    <t>Procentaje de avance en la elaboración de lineamientos, términos de referencia e indicadores para promover el conocimiento del riesgo en diferentes escena
Código : CR-IE-020</t>
  </si>
  <si>
    <t>Porcentaje de avance de la implementación de la estrategia de sensibilización del fortalecimiento de capacidades
Código :AC-IG-003</t>
  </si>
  <si>
    <t>4.1intervenir  el 100%  de cuerpos de agua programados con actividades de limpieza.</t>
  </si>
  <si>
    <t>Número de cuerpos de agua intervenidos
Código: RR-IE-009</t>
  </si>
  <si>
    <r>
      <t>2.4 Realizar  campañas educativas en las localidades priorizadas de Bogotá, D. C. sobre la gestión del riesgo y cambio climático.</t>
    </r>
    <r>
      <rPr>
        <sz val="8"/>
        <color rgb="FFFF0000"/>
        <rFont val="Century"/>
        <family val="1"/>
      </rPr>
      <t xml:space="preserve"> </t>
    </r>
  </si>
  <si>
    <r>
      <t xml:space="preserve">Campañas educativas realizadas
</t>
    </r>
    <r>
      <rPr>
        <sz val="8"/>
        <color theme="1"/>
        <rFont val="Century"/>
        <family val="1"/>
      </rPr>
      <t>Código : CE-IE-005</t>
    </r>
  </si>
  <si>
    <r>
      <t xml:space="preserve">Número de periodistas y/o comunicadores sociales capacitados en gestión de riesgos y cambio climático de los identificados											
</t>
    </r>
    <r>
      <rPr>
        <sz val="8"/>
        <color theme="1"/>
        <rFont val="Century"/>
        <family val="1"/>
      </rPr>
      <t>Código : CE-IE-006</t>
    </r>
  </si>
  <si>
    <t>Programado
2023</t>
  </si>
  <si>
    <t>Programado
2024</t>
  </si>
  <si>
    <t>100%(5%)</t>
  </si>
  <si>
    <t xml:space="preserve">
Documentos con lineamientos técnicos elaborados y socializados
Código ME-IE-08</t>
  </si>
  <si>
    <t>Sin programación</t>
  </si>
  <si>
    <t>I TRIMESTRE:
Aunque no hubo programación ni  ejecución  para esta meta estratégica ,durante el I Trimestre, se desarrollaón las siguientes actividades:
Durante el mes de enero de 2022 , Los contratos de obra e interventoría fueron adjudicados y a la fecha se surte el trámite de perfeccionamiento de los mismos, se espera suscribir las correspondientes Actas de Inicio el finalizar el mes de febrero, una vez se firmen los contratos de obra e interventoría se ejecutará la etapa de diagnóstico y aprobación del cronograma de obra, se estima que las adecuaciones inicien en la primera semana de marzo.
Durante el mes de Febrero de 2022, Contrato de Obra: 001/2022 Adjudicado y Firmado.
Contrato de Interventoría: Adjudicado, Firmado y en aprobación de Pólizas, una vez se aprueben las pólizas del contrato de Interventoría se procederá a la firma de las actas de Inicio las cuales se tiene previsto suscribir entre el  7 y el 11 de marzo.
Durante el  mes de Marzo de 2022, el contrato de Obra 001 de 2022 se encuentra en la fase diagnostica, reconocimiento de las localidades y ubicación de predios, se redicaron componentes ambientales y sst al igual que radicación de hojas de vida, la interventoria se encuentra revisando la documentación</t>
  </si>
  <si>
    <r>
      <rPr>
        <b/>
        <sz val="8"/>
        <color theme="1"/>
        <rFont val="Century"/>
        <family val="1"/>
      </rPr>
      <t xml:space="preserve">I TRIMESTRE:
Durante el I Trimestre, se desarrollaón las siguientes actividades:
</t>
    </r>
    <r>
      <rPr>
        <sz val="8"/>
        <color theme="1"/>
        <rFont val="Century"/>
        <family val="1"/>
      </rPr>
      <t xml:space="preserve">
En Enero se desarrolló las siguienetes actividades:
*Plan Estratégico actualizado 2020-2024 seguimiento IV trimestre.
* 8  Documentos actualizados en el mapa de procesos
*12  Planes del  Decreto 612  Públicados  y  actualizados en  la Página de la entidad:
*Mapa de riesgos  institucional 3er  seguimiento  
*Plan Anticorrupción y de Atención al Ciudadano (PAAC) con el  3er  seguimiento  .
*Se continúa con la actualización del menú de tranparencia y acceso a la información Pública.
*Plan de mejoramiento actualizado  con el último seguimiento.
En Febrero  desarrolló las siguienetes actividades:
*11 Documentos  actualizados en el mapa de procesos
*Menu de Transparencia  y acceso a la información pública Actualizados
*Planes Decreto 612 de 2018 Revisados
*6 Mesas de trabajo actualización Planes de accion 2022
En marzo se desarrolló las siguientes actividades:
*17 Documentos  actualizados en el mapa de procesos
*Menu de Transparencia  y acceso a la información pública Actualizados
*Diligenciamiento del Formulario Único Reporte de Avances a la Gestión  FURAG 2021 
*Planes de accion Actualizados versión  2022.
* Seguimiento  Planes de mejoramiento  insituticonal.
</t>
    </r>
  </si>
  <si>
    <t xml:space="preserve"> EL producto de La meta estratégica, 2.2  Emitir lineamientos  para estudios de detalle de riesgo por inundación para ordenamiento y reordenamiento territorial finalizó en la vigencia 2021  con el  documento con los  lineamientos  para la realizacion de los estudios detallados de amenaza y riesgo por fenomenos de inundacion.
Los lineamientos se construyeron en función del proceso de revisión del proyecto de acuerdo del plan de ordenamiento territorial, adoptado mediante Decreto 555 de 2021  con efectividad al 30 de diciembre de 2021. 
</t>
  </si>
  <si>
    <t>Finalizado Vigencia 2021</t>
  </si>
  <si>
    <r>
      <t>El  producto de la L</t>
    </r>
    <r>
      <rPr>
        <b/>
        <sz val="8"/>
        <color theme="1"/>
        <rFont val="Century"/>
        <family val="1"/>
      </rPr>
      <t xml:space="preserve">a meta estratégica, 2.3 Generar documentos técnicos con lineamientos para la elaboración de estudios e  instrumentos para POT y riesgos por movimientos en masa </t>
    </r>
    <r>
      <rPr>
        <sz val="8"/>
        <color theme="1"/>
        <rFont val="Century"/>
        <family val="1"/>
      </rPr>
      <t xml:space="preserve"> se finaliza en la  vigencia 2021 con el  Documento con los  lineamientos  para la realizacion de los analisis de riesgo y estudios detallados por instrumento de planificación analisado. </t>
    </r>
  </si>
  <si>
    <t>Sin programación I trimestre</t>
  </si>
  <si>
    <t>6 (100%)</t>
  </si>
  <si>
    <t>Sin  programación</t>
  </si>
  <si>
    <t>Ejecutado Acumulado corte 30/03/2022</t>
  </si>
  <si>
    <t>Programación/ Ejecución Vigencia Año 2022</t>
  </si>
  <si>
    <t xml:space="preserve"> Ejecución Por Objetivo  Estratégico Anual  Vigencia 2022</t>
  </si>
  <si>
    <t>Ejecución Por Objetivo  Estratégico  I Trimestre Vigencia 2022</t>
  </si>
  <si>
    <r>
      <rPr>
        <b/>
        <sz val="8"/>
        <color rgb="FFFF0000"/>
        <rFont val="Arial"/>
        <family val="2"/>
      </rPr>
      <t xml:space="preserve"> 5.1 </t>
    </r>
    <r>
      <rPr>
        <sz val="8"/>
        <rFont val="Arial"/>
        <family val="2"/>
      </rPr>
      <t xml:space="preserve"> Porcentaje  de documentos con lineamiento técnicos  elaborados y socializados  a las entidades   integrantes  de la mesa  de  manejo  para el manejo  de emergencias</t>
    </r>
  </si>
  <si>
    <t xml:space="preserve">Programación 2020 </t>
  </si>
  <si>
    <r>
      <rPr>
        <b/>
        <sz val="8"/>
        <color rgb="FFFF0000"/>
        <rFont val="Arial"/>
        <family val="2"/>
      </rPr>
      <t>4.1</t>
    </r>
    <r>
      <rPr>
        <sz val="8"/>
        <rFont val="Arial"/>
        <family val="2"/>
      </rPr>
      <t>Intervenir el 100% de los cuerpos de agua programados.</t>
    </r>
  </si>
  <si>
    <t>Objetivo Estratégicos</t>
  </si>
  <si>
    <t>Metas  Estratégicas</t>
  </si>
  <si>
    <r>
      <rPr>
        <b/>
        <sz val="8"/>
        <color theme="1"/>
        <rFont val="Century"/>
        <family val="1"/>
      </rPr>
      <t>I TRIMESTRE 2022</t>
    </r>
    <r>
      <rPr>
        <sz val="8"/>
        <color theme="1"/>
        <rFont val="Century"/>
        <family val="1"/>
      </rPr>
      <t xml:space="preserve">
Durante el I trimestre se desarrollarón las siguienes actividades
* . Reunión con coordinación de Gestión Local para preparar Asamblea de Elección de consejeros locales al Consejo Consultivo Distrital para la Gestión de Riesgos y Cambio climático (12 de enero)  2. Participación en la reunión Propuesta de Proyecto de Investigación CC -CAF(14 enero) 3. Seguimiento a la implementación de la resolución 233 de 2018 y la resolución 753 de 2020  (17 de enero) 4. apoyo respuestas radicado 2022ER272 - Derecho de petición "BOGOTÁ CÓMO VAMOS(18 de enero). 5.  I Mesa del Sector Ambiente y Transversalización del Enfoque de Género (20 enero). 6. Reunión con SDA para la construcción del Plan de Acción 2022 del Consejo Consultivo Distrital para la Gestión de Riesgos y Cambio Climático (26 enero), 7. Reunión Comunidad Negra campaña comunicativa (26 enero). 8. Apoyo en la preparación y desarrollo de la sesión extraordinaria del Consejo Consultivo Distrital para la Gestión de Riesgos y Cambio Climático, (27 de enero)
*1. Mesa de Trabajo para la Mitigación y Adaptación al Cambio Climático.(2 de febrero)  2. Reunión de Seguimiento PAC - PDGRD (8 de febrero) 3. Resumen gestión Plan de Acción Climática (8 de febrero)  4.Revisión y formulación del Plan de Acción 2022 del Consejo Consultivo (10 de febrero).  5. Revisión Indicador SMIA (10 febrero). 6. Reunión para seguimiento Avances POMCA Río Bogotá (15 de febrero)7.  Articulación de las subdirecciones  para la respuesta de derecho de Petición Veeduría Nacional  frente a la participación de organizaciones comunales (18 de febrero )8  Articulación de la matriz de actividades derivadas del Plan de Ordenamiento Territorial y entrega a la dirección (18 y 19 de febrero) 9.  Encuesta Secretaría de la mujer - Identificación de proyectos (21 febrero). 10. II Mesa del Sector Ambiente y Transversalización del Enfoque de Género (23 febrero). 11. Reunión ENFOCA (23 febrero). 12. Primera sesión del 2022 - Mesa de Trabajo para el Conocimiento y la Reducción del Riesgo (23 de febrero) 13. Invitación a Mesa de Trabajo sobre PPMyEG(24 de febrero) 14. Documentación, preparación y desarrollo de la sesión ordinaria del Consejo Consultivo Distrital para la Gestión de Riesgos y Cambio Climático (24 de febrero). 15. Reunión del Comité Operativo Distrital de Familias - CODFA (24 feb). 16. Revisión campaña Raizal - Sector Ambiente (28 febrero). 17. Mesa de Trabajo para la Mitigación y Adaptación al Cambio Climático.(28 de febrero). 
ntrega al Equipo de cooperación lo relacionado con el ajuste y actualización del PDGRDCC (2 de marzo) 2. Primera mesa de seguimiento Acciones Afirmativas entre la comunidad palenquera y las entidades adscritas al sector Ambiente (3 marzo). 3. Información brindada de actos administrativos de carácter general y particular con contenido regulatorio que deban ser suscritos por la Alcaldesa Mayor de Bogotá D.C. para la vigencia de 2022 (8 de marzo) 4. Diligenciamiento formato AFO-010_usuarios_SSEP IDIGER PP FAMILIAS (8 de marzo)  5. Implementación ENFOCA 2022 - Reunión UNGRD Coordinadores Nacionales (10 marzo). 6. Acuerdos para el Plan de acción CIGRCC con SDA (10 de marzo) 7. Preparación y convocatoria de la Comisión Intersectorial de Gestión de Riesgos y Cambio Climático (10 de marzo) 8. Revisión campaña Raizal - Sector Ambiente (11 marzo y 14 de marzo con Comunidad). 9.  Reunión presencial con la Comunidad Negra, Afrocolombiana y el Director de la Entidad (15 marzo). 10.  Sesión extraordinaria de la Comisión Intersectorial de Gestión de Riesgos y Cambio Climático (15 de marzo)  11. Comisión Intersectorial de Participación - CIP (16 marzo). 12. Ajustes y envio de informes del Consejo distrtital para la Gestion de Riesgos y Cambio Climático  (16 de marzo) 13. Mesa de Trabajo para el Manejo de Emergencias y Desastres (17 de marzo) 14. Articulación intrainstitucional para la respuesta de de la proposición 075 de 2022(17 de marzo) 15. Desarrollo de  Encuesta Ambientes Laborales Inclusivos - ALI (18 marzo). 16. Reunión del Comité Operativo Distrital de Infancia y Adolescencia - CODIA (22 marzo).) 17. Reunión preparatoria de la asamblea de elección de representantes de las organizaciones sociales y comunitarias ante CCGRCC (23 marzo). 18. Definición matriz plan de actividades Sector Ambiente PP LGBTI (28 marzo). 19. Apoyo y documentación a la asamblea de elección de los representantes de las organizaciones sociales y comunitarias ante el Consejo Consultivo Distrital para la Gestión de Riesgos y Cambio Climático (25 de marzo). 20. Reunión virtual de seguimiento de las Acciones Afirmativas con la Comunidad Negra, Afrocolombiana - Sector Ambiente (28 marzo). 21. Reunión Estrategia Brújula 2022 Homenaje a la Niñez (29 marzo). 22. III Mesa sector ambiente y transversalización del enfoque de género (30 marzo). 23. Aportes Postulación Bogotá como Nodo Resiliencia MCR2030 (30 de marzo). 24. Evento Socialización Plan de Acción PPPF 2021-2025 (31 marzo). 25. Desarrollo de actividades en conmemoración del mes de la Mujer. (todo el mes).</t>
    </r>
  </si>
  <si>
    <r>
      <t xml:space="preserve">I TRIMESTRE2022
</t>
    </r>
    <r>
      <rPr>
        <sz val="8"/>
        <color theme="1"/>
        <rFont val="Century"/>
        <family val="1"/>
      </rPr>
      <t xml:space="preserve">Durante el I Trimestre se desarrollarón las siguientes actividades:
*En Enero se generaron 56 pronósticos del tiempo en el marco de convenio con IDEAM y   12 reportes adicionales del pronostico del tiempo cuando existieron condicionesmeteorológicasespeciales sobre la ciudad
* En Febrero  se generaron 112 pronósticos del tiempo y  46 reportes adicionales del pronostico del tiempo cuando existieron condiciones meteorológicas especiales sobre la ciudad.
* En Marzo se generaron 124 pronósticos del tiempo y  9 reportes adicionales del pronostico del tiempo cuando existieron condiciones meteorológicass especiales sobre la ciudad
</t>
    </r>
    <r>
      <rPr>
        <b/>
        <sz val="8"/>
        <color theme="1"/>
        <rFont val="Century"/>
        <family val="1"/>
      </rPr>
      <t xml:space="preserve">
</t>
    </r>
  </si>
  <si>
    <r>
      <t xml:space="preserve">I TRIMESTRE 2022
</t>
    </r>
    <r>
      <rPr>
        <sz val="8"/>
        <color theme="1"/>
        <rFont val="Century"/>
        <family val="1"/>
      </rPr>
      <t xml:space="preserve">Durante el I Trimestre se desarrollarón las siguientes actividades:
En enero se realizó:
*  La  construcción de macros, gráficas y mapas de las anomalías de precipitación y temperatura para su análisis anual y trimestral. 
* Generación de las gráficas y mapas para el análisis de las variables de temperatura y precipitación para la construcción del Boletín Mensual de las condiciones hidrometeorológicas de la ciudad de Bogotá del mes de diciembre 2021.  
*Desarrollo del documento solicitado por escenarios de riesgos donde se consolida la información histórica y anómala, que se ha presentado en la capital en temas de precipitación y temperatura con el fin de actualizar el comportamiento meteorológico en la página del IDIGER.
*Actualización de la base de datos diarios del mes de enero 2022 para las variables de temperatura y precipitación. 
*Evaluar los filtros generados para la base de datos de niveles.  
*Generación de las curvas IDF (Curvas de intensidad, duración y frecuencia) de las lluvias registradas desde el 2015 al 2021, identificando los impulsos de lluvias de cada año para la estación 21 Ángeles localizada en Suba. 
En Febrero se realizó:
*Generación de las gráficas y mapas con su respectivo análisis de las variables de temperatura y precipitación para la construcción del Boletín mensual de las condiciones hidrometeorológicas de la ciudad de Bogotá del mes de enero 2022.  
*Desarrollo del documento donde se consolida la información histórica del comportamiento de las lluvias y la temperatura, con el fin de actualizar el comportamiento meteorológico en la página del IDIGER. 
*Actualización de la base de datos diarios del mes de febrero 2022 para las variables de temperatura y precipitación. 
*Actualizar las gráficas de las 62 estaciones de precipitación. 
*Generar las gráficas y el análisis de 37 estaciones de precipitación que superaron el promedio histórico con respecto al mes de febrero. 
*Construcción de las curvas IDF (Curvas de intensidad, duración y frecuencia) de las lluvias registradas desde el 2015 al 2021, identificando los impulsos de lluvias de cada año para la estación 21 Ángeles en Suba y Cerro Norte de Usaquén.  
*Elaboración de gráficas de niveles y análisis con respecto a los umbrales establecidos de los principales cuerpos de agua (Bogotá, Tunjuelo, Fucha y Salitre) para la elaboración de boletín mensual de enero.
En  Marzo se desarollarón las siguientes actividades:
* Se actualizó la base de datos diarios del mes de marzo 2022 para las variables de temperatura y precipitación. 
*Se actualizaron los datos y gráficas de las 62 estaciones de precipitación  entre los años del 2007 al 2022.  
*Se actualizaron los umbrales de encharcamiento con los 36 eventos por encharcamiento presentados en el mes de marzo.
*Se generaron nuevos umbrales de acumulados de lluvia para 15 y 30 min, asociadas a cinco estaciones adicionales, con el objetivo de mejorar la cobertura en la ciudad para l temporada de lluvias 2022
*Se actualizó la consolidación de la bitácora de las caídas de la página SAB para el mes de marzo. 
*Se generaron las gráficas y mapas con su respectivo análisis de las variables de temperatura y precipitación para la construcción del Boletín mensual de las condiciones hidrometeorológicas de la ciudad de Bogotá del mes de febrero 2022.  
* Se desarrollaron las gráficas de niveles, con su respectivo análisis con respecto a los umbrales establecidos de los principales cuerpos de agua (Bogotá, Tunjuelo, Fucha y Salitre) para la elaboración de boletín mensual de febrero.
* Documento de antecedentes en el tema “rangos de lluvia en Bogotá” y elaboración del gráfico preliminar de registros de lluvia precipitación en las últimas horas, acorde con los rangos presentados.
</t>
    </r>
    <r>
      <rPr>
        <b/>
        <sz val="8"/>
        <color theme="1"/>
        <rFont val="Century"/>
        <family val="1"/>
      </rPr>
      <t xml:space="preserve">
</t>
    </r>
  </si>
  <si>
    <r>
      <t xml:space="preserve">I TRIMESTRE 2022
</t>
    </r>
    <r>
      <rPr>
        <sz val="8"/>
        <color theme="1"/>
        <rFont val="Century"/>
        <family val="1"/>
      </rPr>
      <t>Durante el I Trimestre se desarrollarón las siguientes actividades:
Con la adopción del Decreto 555 de 2021, se cuenta con nuevos mapas normativos para los fenómenos amenazantes de movimientos en masa, inundación, avenidas torrenciales e incendios forestales al igual que todo el marco normativo para la ejecución en el corto, mediano y largo plazo de estudios de detalle frente a estos fenómenos que permitiran avanzar en la gestión de riesgo de la ciudad con lo cual se da cierre a las acciones para avanzar en la construcción de componentes por fenómenos amenazantes los cuales están acogidos en el nuevo ordenamiento territorial de la ciudad
De acuerdo con lo anterior se da por finalizado el producto de l.</t>
    </r>
    <r>
      <rPr>
        <b/>
        <sz val="8"/>
        <color theme="1"/>
        <rFont val="Century"/>
        <family val="1"/>
      </rPr>
      <t>La meta estratégica, 2.2  Emitir lineamientos  para estudios de detalle de riesgo por inundación para ordenamiento y reordenamiento territorial,</t>
    </r>
    <r>
      <rPr>
        <sz val="8"/>
        <color theme="1"/>
        <rFont val="Century"/>
        <family val="1"/>
      </rPr>
      <t xml:space="preserve">  culminando así con el producto Documento de Articulado, Priorización de Estudios, Programas y Proyectos con Soporte Técnico.
</t>
    </r>
  </si>
  <si>
    <r>
      <t xml:space="preserve">I TRIMESTRE 2022
</t>
    </r>
    <r>
      <rPr>
        <sz val="8"/>
        <color theme="1"/>
        <rFont val="Century"/>
        <family val="1"/>
      </rPr>
      <t>Durante el I Trimestre se desarrollarón las siguientes actividades:
En enero ,se analizaron las nuevas normas vigentes (POT y Resoluciones MinVivienda) involucrándolas en la propuesta de sustitución 227 con el fin que el nuevo documento consolidado se analice desde el punto de vista jurídico tanto por Asesor(es) de la Dirección como por representante(s) de la OAJ.
En Febrero,  Se realizaron las gestiones necesarias para publicar la propuesta técnica y jurídica de ajuste a la Resolución 227 de 2006 tanto en página IDIGER como en la plataforma LegalBog de la Secretaría Jurídica Distrital SJD.
En Marzo,  
El equipo de Conceptos para Planificación Territorial trabaja para dar respuesta a los comentarios realizados por los ciudadanos sobre el texto de la propuesta publicada en LegalBog y en página IDIGER. En consideración de las observaciones recibidas mediante LegalBog, se modificaron algunos textos de la propuesta publicada para hacerla más clara.</t>
    </r>
  </si>
  <si>
    <r>
      <rPr>
        <b/>
        <sz val="8"/>
        <color theme="1"/>
        <rFont val="Century"/>
        <family val="1"/>
      </rPr>
      <t>I TRIMESTRE2022</t>
    </r>
    <r>
      <rPr>
        <sz val="8"/>
        <color theme="1"/>
        <rFont val="Century"/>
        <family val="1"/>
      </rPr>
      <t xml:space="preserve">
Durante el I Trimestre se desarrollarón las siguientes actividades:
En el Mes de Marzo se Se convocó a rueda de prensa con los medios de comunicación, para el lanzamiento de la campaña de la Primera Temporada de Lluvias. Se diseñó y divulgó a través de los canales virtuales del IDIGER y se continuará su difusión durante el mes de abril y mayo.</t>
    </r>
  </si>
  <si>
    <t>Finalizado
2021</t>
  </si>
  <si>
    <t>Finalizado
2021</t>
  </si>
  <si>
    <t>Avance por Objetivo Trimstral</t>
  </si>
  <si>
    <r>
      <rPr>
        <b/>
        <sz val="8"/>
        <color theme="1"/>
        <rFont val="Century"/>
        <family val="1"/>
      </rPr>
      <t>I  TRIMESTRE 2022</t>
    </r>
    <r>
      <rPr>
        <sz val="8"/>
        <color theme="1"/>
        <rFont val="Century"/>
        <family val="1"/>
      </rPr>
      <t xml:space="preserve">
Para ets primestre  2022, No   hubo programación I Trimestre 2022</t>
    </r>
  </si>
  <si>
    <r>
      <rPr>
        <b/>
        <sz val="8"/>
        <color theme="1"/>
        <rFont val="Century"/>
        <family val="1"/>
      </rPr>
      <t>I TRIMESTRE 2022</t>
    </r>
    <r>
      <rPr>
        <sz val="8"/>
        <color theme="1"/>
        <rFont val="Century"/>
        <family val="1"/>
      </rPr>
      <t xml:space="preserve">
Durante el I Trimestre se desarrollarón las siguientes actividades:
En Marzo : Se cumple con la intervencion programada, se verificara en el mes de febrero la intervencion de acuerdo al informe aprobado por la supervision del convenio EAAB. La programación va hasta febrero de acuerdo con la fecha de culminación del convenio, por el cual se ejecutan las acciones que se reportan en el plan de acción,  Se reporta a la CITEL IDIGER por medio del convenio los eventos SIRE 5389989
En Febrero : Se realiza la intervencion de los cuerpos de agua programados en las 5 cuencas, el cual se verificara en el mes de marzo una vez se entregue el informe de gestion por parte de EAAB supervisor del convenio, en el mes de febrero 2022 se atendieron los siguientes eventos adicionales a los cuerpos de agua programados la quebrada Moraci de la localidad de Chapinero, en las fechas 14 y 24 de febrero y residuos peligrosos en el canal Cordoba el 25 de febrero.
En Marzo: Se intervienen los cuerpos de agua programados para el mes de marzo 2022, de otro lado se atendió los requerimientos evento SIRE No. 5393443, No. 5393728, 5393857. Se prepara y reporta la intervención de cuerpos de agua para dar inicio a la primera temporada de lluvia 2022, se verificara en el mes de abril 2022 el número de cuerpos de agua intervenidos de acuerdo con el informe de supervisión entregado y validado por el supervisor del convenio EAAB
</t>
    </r>
  </si>
  <si>
    <r>
      <rPr>
        <b/>
        <sz val="8"/>
        <color theme="1"/>
        <rFont val="Century"/>
        <family val="1"/>
      </rPr>
      <t>I TRIMESTRE 2022</t>
    </r>
    <r>
      <rPr>
        <sz val="8"/>
        <color theme="1"/>
        <rFont val="Century"/>
        <family val="1"/>
      </rPr>
      <t xml:space="preserve">
Aunque no hubo porgramación   ni  ejecución  para esta meta estratégica durante el I Trimestre, se desarrollaón las siguientes actividades:
Durante el mes de enero de 2022 se realizó la reprogramación de las obras que estaban programadas para su ejecución en el mes diciembre de 2021, Divino Niño para febrero 2022 y Peñon del Cortijo para abril 2022. Esta reprogramación se realizó debido a retrasos e inconvenientes presentados durante la etapa precontractual de las obras de mitigación de Peñón del Cortijo y Divino Niño. Se tiene previsto que las obras programadas para su ejecución en el año 2022 son:
1. Febrero 2022: Divino Niño (Se adjunta acta de inicio)
2. Abril 2022: Peñón del Cortijo (Se adjunta acta de inicio)
3. Junio 2022: Codito 
4. Octubre 2022: Convenio IDIGER -SDHT Paraíso Mirador
5. Noviembre 2022: Bella Flor
6. Diciembre 2022: Ciudadela Santa Rosa. 
Durante el mes de Febrero, Actualmente, se están ejecutando dos (2) obras de mitigación en la localidad de Ciudad Bolívar. 
1. Contrato de obra No. 188 de 2021 e interventoría No. 223 de 2021 (barrio Divino Niño, localidad de Ciudad Bolívar) , el cual firmó acta de inicio el día 08 de octubre de 2021 y a corte de 28 de febrero de 2022 presenta un porcentaje de avance físico en su ejecución de 88%. Este contrato fue adicionado sesenta (60) días mas, teniendo como nueva fecha de finalización el día 8 de abril de 2022.  Razón por la cual se reprograma de febrero para el mes de abril.
2. Contrato de obra No. 242 de 2021 e interventoría No. 236 de 2021 (barrio Peñón del Cortijo, localidad de Ciudad Bolívar), el cual firmó acta de inicio el día 01 de diciembre de 2021 y a corte de 26 de febrero de 2022 presenta un porcentaje de avance en su ejecución de 30.01%.
Durante el mes de Marzo,  Actualmente, se están ejecutando dos (2) obras de mitigación en la localidad de Ciudad Bolívar. 
1. Contrato de obra No. 188 de 2021 e interventoría No. 223 de 2021 (barrio Divino Niño, localidad de Ciudad Bolívar) , el cual firmó acta de inicio el día 08 de octubre de 2021 y a corte de 31 de marzo de 2022 presenta un porcentaje de avance físico en su ejecución de 95%. Este contrato fue adicionado sesenta (60) días mas, teniendo como nueva fecha de finalización el día 8 de abril de 2022.
2. Contrato de obra No. 242 de 2021 e interventoría No. 236 de 2021 (barrio Peñón del Cortijo, localidad de Ciudad Bolívar), el cual firmó acta de inicio el día 01 de diciembre de 2021 y a corte de 31 de marzo de 2022 presenta un porcentaje de avance en su ejecución de 64.92%.</t>
    </r>
  </si>
  <si>
    <r>
      <t xml:space="preserve">I TRIMESTRE 2022
</t>
    </r>
    <r>
      <rPr>
        <sz val="8"/>
        <color theme="1"/>
        <rFont val="Century"/>
        <family val="1"/>
      </rPr>
      <t>Para el periodo 01 al 31 de enero el equipo de desarrollo realizó las actividades de ajuste a las funcionalidades de acuerdo a los requierimientos de los usuarios funcionales y que fueron registrados en la aplicación de gestion de desarrollo, dentro de las actividades realizadas se resaltan en SAB •Visualizar el valor actual de la temperatura en el mapa  • Ampliar rango de descarga de información según tipo de reporte  • Comportamiento de la precipitación total mensual únicamente de sensores pluviométricos • Generar grafica de acumulado y máximo mensual según la data procesada SUGA Mockup para la implementación del decreto 470 de 2021, Instalación de Certificados de Sitio Seguro en los servidores WEB de Desarrollo Tecnológico.
Para el mes de febrero se resalta el cumplimiento a las actividades de ajuste y mesas de trabajo de acuerdo con los requerimientos realizados por los usuarios funcionales a través del gestor de desarrollo, que para el periodo en referencia fueron los correspondientes a SAB, SAB LLuvias, SAB Reportes, SAB Sitios propensos, STV, Inventario Edificaciones y Bitacor</t>
    </r>
    <r>
      <rPr>
        <b/>
        <sz val="8"/>
        <color theme="1"/>
        <rFont val="Century"/>
        <family val="1"/>
      </rPr>
      <t xml:space="preserve">
</t>
    </r>
    <r>
      <rPr>
        <sz val="8"/>
        <color theme="1"/>
        <rFont val="Century"/>
        <family val="1"/>
      </rPr>
      <t>Para el mes de febrero   y Mazrzo se resalta el cumplimiento a las actividades de ajuste y mesas de trabajo de acuerdo con los requerimientos realizados por los usuarios funcionales a través del gestor de desarrollo, que para el periodo en referencia fueron los correspondientes a SAB, SAB LLuvias, SAB Reportes, SAB Sitios propensos, STV, Inventario Edificaciones y Bitacora.</t>
    </r>
    <r>
      <rPr>
        <b/>
        <sz val="8"/>
        <color theme="1"/>
        <rFont val="Century"/>
        <family val="1"/>
      </rPr>
      <t xml:space="preserve">
</t>
    </r>
  </si>
  <si>
    <r>
      <t xml:space="preserve">I TRIMESTRE 2022
</t>
    </r>
    <r>
      <rPr>
        <sz val="8"/>
        <color theme="1"/>
        <rFont val="Century"/>
        <family val="1"/>
      </rPr>
      <t xml:space="preserve">
Para enero de 2022 fueron atendidas en su totalidad las solicitudes realizadas mediante los canales oficiales, es decir, mesa de ayuda, correo electronico y Comunicaciones Internas y Extrenas Recibidas. se resalta que para este periodo el 53% de solicitudes estan relacionadas con el soporte técnico, el 51% de las solicitudes hace referencia a creación, reactivación y desactivación de usuarios, el 9% corresponde a validación y firma de Sin pendientes, y por último el 3% de las solicitudes del modulo SURE. 
Para febrero de 2022 fueron atendidas en su totalidad las solicitudes realizadas mediante los canales oficiales, es decir, mesa de ayuda, correo electronico y Comunicaciones Internas y Extrenas Recibidas. se resalta que para este periodo el 40% de solicitudes estan relacionadas con el soporte técnico, el 18% de las solicitudes hace referencia a creación reactivación y desactivación de usuarios, el 0.5% corresponde a validación y firma de Sin pendientes, el 13.5% de las solicitudes del modulo SURE; por último el 26% de las solcitudes hace referencia a las necesidades de capacitación a usuarios.
Para marzo de 2022 fueron atendidas en su totalidad las solicitudes realizadas mediante los canales oficiales, es decir, mesa de ayuda, correo electronico y Comunicaciones Internas y Extrenas Recibidas. se resalta que para este periodo el 53.5% de solicitudes estan relacionadas con el soporte técnico, el 2% de las solicitudes hace referencia a creación, reactivación y desactivación de usuarios, el 5.2% corresponde a validación y firma de Sin pendientes, y por último el 37.2% de las solicitudes del modulo SURE. </t>
    </r>
  </si>
  <si>
    <t xml:space="preserve">I TRIMESTRE:
Durante el  primer semestre   se elaborarón   6 documentos con lineamientos técnicos elaborados  y socializados
Durante  el III  Trimestre  se elaborarón  1 documento  con lineamientos técnicos elaborados  y socializados, para este período se avanzó en la elaboración de documentos, pero no  logró socializarlos.
Durante el IV  se elaborarón 14 docuemnto on lineamientos técnicos elaborados  y socializados, para este período se avanzó en la elaboración de documentos, pero no  logró socializarlos.s 
</t>
  </si>
  <si>
    <t xml:space="preserve"> Ejecución Por Objetivo Avance Cuatriena Corte I Trimestre vigencia 2022 </t>
  </si>
  <si>
    <t>Peso Porcentual</t>
  </si>
  <si>
    <t xml:space="preserve"> 2.Fortalecer y promover el conocimiento del riesgo de desastres y efectos del cambio climático </t>
  </si>
  <si>
    <t>Subdirectora de Análisis y Efectos del Cambio Climático  y Asesor de Comunicacione</t>
  </si>
  <si>
    <t>Conocimiento de Riesgos y efectos de cambio Climatico
Comunicaciones e Información Pública</t>
  </si>
  <si>
    <t>Tecnologías de la información  y las comunicaciones</t>
  </si>
  <si>
    <t>Reducción del riesgo  y adaptación al cambio climático</t>
  </si>
  <si>
    <t>Manejo de emergencias y desastres</t>
  </si>
  <si>
    <t>Atención al ciudadano</t>
  </si>
  <si>
    <t>Proceso De Gestión Asociado</t>
  </si>
  <si>
    <t>Responsable del Prodeso</t>
  </si>
  <si>
    <t>Objetivos Estratégicos</t>
  </si>
  <si>
    <t>Metas Estrategicas</t>
  </si>
  <si>
    <t xml:space="preserve"> Indicador </t>
  </si>
  <si>
    <r>
      <t xml:space="preserve">Campañas educativas realizadas
</t>
    </r>
    <r>
      <rPr>
        <sz val="8"/>
        <color theme="1"/>
        <rFont val="Arial"/>
        <family val="2"/>
      </rPr>
      <t>Código : CE-IE-005</t>
    </r>
  </si>
  <si>
    <r>
      <t xml:space="preserve">Número de periodistas y/o comunicadores sociales capacitados en gestión de riesgos y cambio climático de los identificados											
</t>
    </r>
    <r>
      <rPr>
        <sz val="8"/>
        <color theme="1"/>
        <rFont val="Arial"/>
        <family val="2"/>
      </rPr>
      <t>Código : CE-IE-006</t>
    </r>
  </si>
  <si>
    <t>sin rpogramación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</si>
</sst>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00%"/>
  </numFmts>
  <fonts count="88" x14ac:knownFonts="1">
    <font>
      <sz val="11"/>
      <color theme="1"/>
      <name val="Calibri"/>
      <family val="2"/>
      <scheme val="minor"/>
    </font>
    <font>
      <sz val="11"/>
      <color theme="1"/>
      <name val="Calibri"/>
      <family val="2"/>
      <scheme val="minor"/>
    </font>
    <font>
      <sz val="10"/>
      <name val="Arial"/>
      <family val="2"/>
    </font>
    <font>
      <sz val="7"/>
      <color theme="1"/>
      <name val="Calibri Light"/>
      <family val="2"/>
      <scheme val="major"/>
    </font>
    <font>
      <sz val="8"/>
      <color theme="1"/>
      <name val="Arial Nova Light"/>
      <family val="2"/>
    </font>
    <font>
      <b/>
      <sz val="10"/>
      <color theme="1"/>
      <name val="Arial Nova Light"/>
      <family val="2"/>
    </font>
    <font>
      <b/>
      <sz val="8"/>
      <color theme="1"/>
      <name val="Arial Nova Light"/>
      <family val="2"/>
    </font>
    <font>
      <b/>
      <sz val="8"/>
      <color theme="0"/>
      <name val="Arial Nova Light"/>
      <family val="2"/>
    </font>
    <font>
      <sz val="8"/>
      <name val="Arial Nova Light"/>
      <family val="2"/>
    </font>
    <font>
      <sz val="7"/>
      <color theme="1"/>
      <name val="Arial Nova Light"/>
      <family val="2"/>
    </font>
    <font>
      <sz val="7"/>
      <name val="Arial Nova Light"/>
      <family val="2"/>
    </font>
    <font>
      <sz val="11"/>
      <color theme="1"/>
      <name val="Arial Nova Light"/>
      <family val="2"/>
    </font>
    <font>
      <b/>
      <sz val="11"/>
      <color theme="1"/>
      <name val="Arial Nova Light"/>
      <family val="2"/>
    </font>
    <font>
      <sz val="10"/>
      <name val="Arial Nova Light"/>
      <family val="2"/>
    </font>
    <font>
      <b/>
      <sz val="8"/>
      <color theme="4" tint="-0.499984740745262"/>
      <name val="Arial Nova Light"/>
      <family val="2"/>
    </font>
    <font>
      <sz val="8"/>
      <color indexed="8"/>
      <name val="Arial Nova Light"/>
      <family val="2"/>
    </font>
    <font>
      <sz val="8"/>
      <color theme="3" tint="-0.499984740745262"/>
      <name val="Arial Nova Light"/>
      <family val="2"/>
    </font>
    <font>
      <b/>
      <sz val="8"/>
      <color theme="3" tint="-0.499984740745262"/>
      <name val="Arial Nova Light"/>
      <family val="2"/>
    </font>
    <font>
      <sz val="8"/>
      <color rgb="FFFF0000"/>
      <name val="Arial Nova Light"/>
      <family val="2"/>
    </font>
    <font>
      <sz val="8"/>
      <color theme="0"/>
      <name val="Arial Nova Light"/>
      <family val="2"/>
    </font>
    <font>
      <sz val="7"/>
      <color rgb="FF000000"/>
      <name val="Arial Nova Light"/>
      <family val="2"/>
    </font>
    <font>
      <b/>
      <sz val="8"/>
      <color theme="9" tint="-0.499984740745262"/>
      <name val="Arial Nova Light"/>
      <family val="2"/>
    </font>
    <font>
      <b/>
      <sz val="8"/>
      <color indexed="8"/>
      <name val="Arial Nova Light"/>
      <family val="2"/>
    </font>
    <font>
      <b/>
      <sz val="14"/>
      <color theme="9" tint="-0.249977111117893"/>
      <name val="Arial Nova Light"/>
      <family val="2"/>
    </font>
    <font>
      <b/>
      <sz val="6"/>
      <color theme="9" tint="-0.499984740745262"/>
      <name val="Arial Nova Light"/>
      <family val="2"/>
    </font>
    <font>
      <b/>
      <sz val="9"/>
      <color theme="1"/>
      <name val="Arial Nova Light"/>
      <family val="2"/>
    </font>
    <font>
      <sz val="7"/>
      <color rgb="FFFF0000"/>
      <name val="Calibri Light"/>
      <family val="2"/>
      <scheme val="major"/>
    </font>
    <font>
      <sz val="11"/>
      <color theme="1"/>
      <name val="Arial"/>
      <family val="2"/>
    </font>
    <font>
      <b/>
      <sz val="8"/>
      <color theme="1"/>
      <name val="Century Gothic"/>
      <family val="2"/>
    </font>
    <font>
      <sz val="8"/>
      <color theme="1"/>
      <name val="Century Gothic"/>
      <family val="2"/>
    </font>
    <font>
      <b/>
      <sz val="14"/>
      <color theme="9" tint="-0.249977111117893"/>
      <name val="Century Gothic"/>
      <family val="2"/>
    </font>
    <font>
      <sz val="8"/>
      <name val="Century Gothic"/>
      <family val="2"/>
    </font>
    <font>
      <sz val="7"/>
      <color theme="1"/>
      <name val="Century Gothic"/>
      <family val="2"/>
    </font>
    <font>
      <sz val="8"/>
      <color rgb="FFFF0000"/>
      <name val="Century Gothic"/>
      <family val="2"/>
    </font>
    <font>
      <sz val="8"/>
      <color theme="0"/>
      <name val="Century Gothic"/>
      <family val="2"/>
    </font>
    <font>
      <b/>
      <sz val="7"/>
      <color theme="1"/>
      <name val="Century Gothic"/>
      <family val="2"/>
    </font>
    <font>
      <sz val="8"/>
      <color rgb="FF000000"/>
      <name val="Century Gothic"/>
      <family val="2"/>
    </font>
    <font>
      <sz val="8"/>
      <color theme="1"/>
      <name val="Arial"/>
      <family val="2"/>
    </font>
    <font>
      <sz val="10"/>
      <color rgb="FF000000"/>
      <name val="Arial"/>
      <family val="2"/>
    </font>
    <font>
      <sz val="18"/>
      <name val="Arial"/>
      <family val="2"/>
    </font>
    <font>
      <sz val="8"/>
      <name val="Arial"/>
      <family val="2"/>
    </font>
    <font>
      <b/>
      <sz val="11"/>
      <color theme="1"/>
      <name val="Arial"/>
      <family val="2"/>
    </font>
    <font>
      <sz val="9"/>
      <color theme="1"/>
      <name val="Arial"/>
      <family val="2"/>
    </font>
    <font>
      <sz val="9"/>
      <name val="Arial"/>
      <family val="2"/>
    </font>
    <font>
      <b/>
      <sz val="9"/>
      <color theme="1"/>
      <name val="Arial"/>
      <family val="2"/>
    </font>
    <font>
      <sz val="8"/>
      <color rgb="FFFF0000"/>
      <name val="Arial"/>
      <family val="2"/>
    </font>
    <font>
      <b/>
      <sz val="12"/>
      <color theme="1"/>
      <name val="Arial"/>
      <family val="2"/>
    </font>
    <font>
      <sz val="8"/>
      <name val="Calibri Light"/>
      <family val="2"/>
      <scheme val="major"/>
    </font>
    <font>
      <sz val="8"/>
      <name val="Calibri"/>
      <family val="2"/>
      <scheme val="minor"/>
    </font>
    <font>
      <b/>
      <sz val="8"/>
      <color rgb="FFFF0000"/>
      <name val="Arial"/>
      <family val="2"/>
    </font>
    <font>
      <b/>
      <sz val="11"/>
      <color theme="1"/>
      <name val="Calibri"/>
      <family val="2"/>
      <scheme val="minor"/>
    </font>
    <font>
      <sz val="11"/>
      <color theme="2" tint="-0.89999084444715716"/>
      <name val="Calibri"/>
      <family val="2"/>
      <scheme val="minor"/>
    </font>
    <font>
      <sz val="9"/>
      <color indexed="81"/>
      <name val="Tahoma"/>
      <family val="2"/>
    </font>
    <font>
      <sz val="12"/>
      <name val="Century Gothic"/>
      <family val="2"/>
    </font>
    <font>
      <sz val="14"/>
      <name val="Century Gothic"/>
      <family val="2"/>
    </font>
    <font>
      <sz val="16"/>
      <name val="Century Gothic"/>
      <family val="2"/>
    </font>
    <font>
      <sz val="9"/>
      <color rgb="FF000000"/>
      <name val="Calibri Light"/>
      <family val="2"/>
    </font>
    <font>
      <sz val="14"/>
      <color theme="1"/>
      <name val="Century Gothic"/>
      <family val="2"/>
    </font>
    <font>
      <b/>
      <sz val="12"/>
      <color rgb="FFFFFFFF"/>
      <name val="Calibri"/>
      <family val="2"/>
    </font>
    <font>
      <b/>
      <sz val="8"/>
      <color rgb="FFFF0000"/>
      <name val="Century Gothic"/>
      <family val="2"/>
    </font>
    <font>
      <b/>
      <sz val="7"/>
      <color theme="1"/>
      <name val="Century"/>
      <family val="1"/>
    </font>
    <font>
      <b/>
      <sz val="14"/>
      <color theme="9" tint="-0.249977111117893"/>
      <name val="Century"/>
      <family val="1"/>
    </font>
    <font>
      <sz val="11"/>
      <color theme="1"/>
      <name val="Century"/>
      <family val="1"/>
    </font>
    <font>
      <sz val="7"/>
      <color theme="1"/>
      <name val="Century"/>
      <family val="1"/>
    </font>
    <font>
      <sz val="8"/>
      <color theme="1"/>
      <name val="Century"/>
      <family val="1"/>
    </font>
    <font>
      <b/>
      <sz val="8"/>
      <color theme="1"/>
      <name val="Century"/>
      <family val="1"/>
    </font>
    <font>
      <sz val="8"/>
      <name val="Century"/>
      <family val="1"/>
    </font>
    <font>
      <sz val="8"/>
      <color theme="0"/>
      <name val="Century"/>
      <family val="1"/>
    </font>
    <font>
      <sz val="8"/>
      <color rgb="FFFF0000"/>
      <name val="Century"/>
      <family val="1"/>
    </font>
    <font>
      <sz val="8"/>
      <color rgb="FF000000"/>
      <name val="Century"/>
      <family val="1"/>
    </font>
    <font>
      <sz val="9"/>
      <name val="Century"/>
      <family val="1"/>
    </font>
    <font>
      <sz val="9"/>
      <color theme="1"/>
      <name val="Century"/>
      <family val="1"/>
    </font>
    <font>
      <sz val="11"/>
      <name val="Century"/>
      <family val="1"/>
    </font>
    <font>
      <sz val="9"/>
      <name val="Century Gothic"/>
      <family val="2"/>
    </font>
    <font>
      <b/>
      <sz val="9"/>
      <name val="Century Gothic"/>
      <family val="2"/>
    </font>
    <font>
      <b/>
      <sz val="9"/>
      <color theme="1"/>
      <name val="Century Gothic"/>
      <family val="2"/>
    </font>
    <font>
      <sz val="11"/>
      <name val="Century Gothic"/>
      <family val="2"/>
    </font>
    <font>
      <sz val="9"/>
      <color theme="3" tint="-0.499984740745262"/>
      <name val="Century Gothic"/>
      <family val="2"/>
    </font>
    <font>
      <b/>
      <sz val="9"/>
      <color theme="1"/>
      <name val="Calibri"/>
      <family val="2"/>
      <scheme val="minor"/>
    </font>
    <font>
      <b/>
      <sz val="8"/>
      <color theme="1"/>
      <name val="Arial"/>
      <family val="2"/>
    </font>
    <font>
      <sz val="8"/>
      <color theme="1"/>
      <name val="Calibri"/>
      <family val="2"/>
      <scheme val="minor"/>
    </font>
    <font>
      <b/>
      <sz val="8"/>
      <color theme="1"/>
      <name val="Calibri"/>
      <family val="2"/>
      <scheme val="minor"/>
    </font>
    <font>
      <sz val="8"/>
      <color rgb="FF000000"/>
      <name val="Calibri Light"/>
      <family val="2"/>
    </font>
    <font>
      <b/>
      <sz val="8"/>
      <color rgb="FF000000"/>
      <name val="Calibri Light"/>
      <family val="2"/>
    </font>
    <font>
      <b/>
      <sz val="7"/>
      <color theme="1"/>
      <name val="Arial"/>
      <family val="2"/>
    </font>
    <font>
      <b/>
      <sz val="7"/>
      <color theme="1"/>
      <name val="Calibri"/>
      <family val="2"/>
      <scheme val="minor"/>
    </font>
    <font>
      <b/>
      <sz val="9"/>
      <name val="Arial"/>
      <family val="2"/>
    </font>
    <font>
      <b/>
      <sz val="8"/>
      <name val="Arial"/>
      <family val="2"/>
    </font>
  </fonts>
  <fills count="3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bgColor rgb="FFFFFFFF"/>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rgb="FFEDE2F6"/>
        <bgColor indexed="64"/>
      </patternFill>
    </fill>
    <fill>
      <patternFill patternType="solid">
        <fgColor rgb="FFFFFFFF"/>
        <bgColor indexed="64"/>
      </patternFill>
    </fill>
    <fill>
      <patternFill patternType="solid">
        <fgColor rgb="FFFFC000"/>
        <bgColor indexed="64"/>
      </patternFill>
    </fill>
    <fill>
      <patternFill patternType="solid">
        <fgColor theme="5"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9" tint="-0.499984740745262"/>
        <bgColor indexed="58"/>
      </patternFill>
    </fill>
    <fill>
      <patternFill patternType="solid">
        <fgColor theme="9" tint="-0.249977111117893"/>
        <bgColor indexed="64"/>
      </patternFill>
    </fill>
    <fill>
      <patternFill patternType="solid">
        <fgColor theme="9" tint="0.59999389629810485"/>
        <bgColor indexed="64"/>
      </patternFill>
    </fill>
    <fill>
      <patternFill patternType="solid">
        <fgColor theme="2"/>
        <bgColor indexed="64"/>
      </patternFill>
    </fill>
    <fill>
      <patternFill patternType="solid">
        <fgColor rgb="FFF4AD7C"/>
        <bgColor indexed="64"/>
      </patternFill>
    </fill>
    <fill>
      <patternFill patternType="solid">
        <fgColor rgb="FFFFE89F"/>
        <bgColor indexed="64"/>
      </patternFill>
    </fill>
    <fill>
      <patternFill patternType="solid">
        <fgColor rgb="FF00B050"/>
        <bgColor indexed="64"/>
      </patternFill>
    </fill>
    <fill>
      <patternFill patternType="solid">
        <fgColor rgb="FFD6DCE4"/>
        <bgColor rgb="FFD6DCE4"/>
      </patternFill>
    </fill>
    <fill>
      <patternFill patternType="solid">
        <fgColor theme="9" tint="0.79998168889431442"/>
        <bgColor indexed="58"/>
      </patternFill>
    </fill>
    <fill>
      <patternFill patternType="solid">
        <fgColor theme="8" tint="0.59999389629810485"/>
        <bgColor indexed="64"/>
      </patternFill>
    </fill>
    <fill>
      <patternFill patternType="solid">
        <fgColor rgb="FFDDD9C4"/>
        <bgColor rgb="FF000000"/>
      </patternFill>
    </fill>
    <fill>
      <patternFill patternType="solid">
        <fgColor rgb="FF70AD47"/>
        <bgColor indexed="64"/>
      </patternFill>
    </fill>
    <fill>
      <patternFill patternType="solid">
        <fgColor rgb="FFFFCCFF"/>
        <bgColor indexed="64"/>
      </patternFill>
    </fill>
    <fill>
      <patternFill patternType="solid">
        <fgColor theme="4" tint="0.79998168889431442"/>
        <bgColor indexed="64"/>
      </patternFill>
    </fill>
    <fill>
      <patternFill patternType="solid">
        <fgColor theme="4" tint="0.79998168889431442"/>
        <bgColor indexed="58"/>
      </patternFill>
    </fill>
    <fill>
      <patternFill patternType="solid">
        <fgColor theme="9" tint="0.59999389629810485"/>
        <bgColor indexed="58"/>
      </patternFill>
    </fill>
    <fill>
      <patternFill patternType="solid">
        <fgColor rgb="FFE2EFD9"/>
        <bgColor rgb="FFE2EFD9"/>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4.9989318521683403E-2"/>
        <bgColor indexed="64"/>
      </patternFill>
    </fill>
  </fills>
  <borders count="79">
    <border>
      <left/>
      <right/>
      <top/>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theme="8" tint="0.39982299264503923"/>
      </left>
      <right style="thin">
        <color theme="8" tint="0.39982299264503923"/>
      </right>
      <top style="thin">
        <color theme="8" tint="0.39982299264503923"/>
      </top>
      <bottom style="thin">
        <color theme="8" tint="0.39982299264503923"/>
      </bottom>
      <diagonal/>
    </border>
    <border>
      <left style="thin">
        <color theme="8" tint="0.39982299264503923"/>
      </left>
      <right style="thin">
        <color theme="8" tint="0.39982299264503923"/>
      </right>
      <top style="thin">
        <color theme="8" tint="0.39982299264503923"/>
      </top>
      <bottom/>
      <diagonal/>
    </border>
    <border>
      <left style="thin">
        <color theme="8" tint="0.39982299264503923"/>
      </left>
      <right style="thin">
        <color theme="8" tint="0.39982299264503923"/>
      </right>
      <top/>
      <bottom/>
      <diagonal/>
    </border>
    <border>
      <left style="thin">
        <color theme="8" tint="0.39982299264503923"/>
      </left>
      <right style="thin">
        <color theme="8" tint="0.39982299264503923"/>
      </right>
      <top/>
      <bottom style="thin">
        <color theme="8" tint="0.39982299264503923"/>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theme="8" tint="0.39988402966399123"/>
      </left>
      <right style="thin">
        <color theme="8" tint="0.39988402966399123"/>
      </right>
      <top style="thin">
        <color theme="8" tint="0.39988402966399123"/>
      </top>
      <bottom style="thin">
        <color theme="8" tint="0.39988402966399123"/>
      </bottom>
      <diagonal/>
    </border>
    <border>
      <left style="medium">
        <color theme="8" tint="0.39985351115451523"/>
      </left>
      <right style="thin">
        <color theme="8" tint="0.39988402966399123"/>
      </right>
      <top style="medium">
        <color theme="8" tint="0.39985351115451523"/>
      </top>
      <bottom style="thin">
        <color theme="8" tint="0.39988402966399123"/>
      </bottom>
      <diagonal/>
    </border>
    <border>
      <left style="thin">
        <color theme="8" tint="0.39988402966399123"/>
      </left>
      <right style="thin">
        <color theme="8" tint="0.39988402966399123"/>
      </right>
      <top style="medium">
        <color theme="8" tint="0.39985351115451523"/>
      </top>
      <bottom style="thin">
        <color theme="8" tint="0.39988402966399123"/>
      </bottom>
      <diagonal/>
    </border>
    <border>
      <left style="medium">
        <color theme="8" tint="0.39985351115451523"/>
      </left>
      <right style="thin">
        <color theme="8" tint="0.39988402966399123"/>
      </right>
      <top style="thin">
        <color theme="8" tint="0.39988402966399123"/>
      </top>
      <bottom style="thin">
        <color theme="8" tint="0.39988402966399123"/>
      </bottom>
      <diagonal/>
    </border>
    <border>
      <left style="medium">
        <color theme="8" tint="0.39985351115451523"/>
      </left>
      <right style="thin">
        <color theme="8" tint="0.39988402966399123"/>
      </right>
      <top style="thin">
        <color theme="8" tint="0.39988402966399123"/>
      </top>
      <bottom style="medium">
        <color theme="8" tint="0.39985351115451523"/>
      </bottom>
      <diagonal/>
    </border>
    <border>
      <left style="thin">
        <color theme="8" tint="0.39988402966399123"/>
      </left>
      <right style="thin">
        <color theme="8" tint="0.39988402966399123"/>
      </right>
      <top style="thin">
        <color theme="8" tint="0.39988402966399123"/>
      </top>
      <bottom style="medium">
        <color theme="8" tint="0.39985351115451523"/>
      </bottom>
      <diagonal/>
    </border>
    <border>
      <left style="thin">
        <color theme="8" tint="0.39988402966399123"/>
      </left>
      <right/>
      <top style="medium">
        <color theme="8" tint="0.39985351115451523"/>
      </top>
      <bottom style="thin">
        <color theme="8" tint="0.39988402966399123"/>
      </bottom>
      <diagonal/>
    </border>
    <border>
      <left/>
      <right/>
      <top style="medium">
        <color theme="8" tint="0.39985351115451523"/>
      </top>
      <bottom style="thin">
        <color theme="8" tint="0.39988402966399123"/>
      </bottom>
      <diagonal/>
    </border>
    <border>
      <left/>
      <right style="thin">
        <color theme="8" tint="0.39988402966399123"/>
      </right>
      <top style="medium">
        <color theme="8" tint="0.39985351115451523"/>
      </top>
      <bottom style="thin">
        <color theme="8" tint="0.39988402966399123"/>
      </bottom>
      <diagonal/>
    </border>
    <border>
      <left style="thin">
        <color theme="8" tint="0.39988402966399123"/>
      </left>
      <right/>
      <top style="medium">
        <color theme="8" tint="0.39985351115451523"/>
      </top>
      <bottom/>
      <diagonal/>
    </border>
    <border>
      <left/>
      <right/>
      <top style="medium">
        <color theme="8" tint="0.39985351115451523"/>
      </top>
      <bottom/>
      <diagonal/>
    </border>
    <border>
      <left/>
      <right style="thin">
        <color theme="8" tint="0.39988402966399123"/>
      </right>
      <top style="medium">
        <color theme="8" tint="0.39985351115451523"/>
      </top>
      <bottom/>
      <diagonal/>
    </border>
    <border>
      <left style="thin">
        <color theme="8" tint="0.39988402966399123"/>
      </left>
      <right/>
      <top/>
      <bottom style="thin">
        <color theme="8" tint="0.39988402966399123"/>
      </bottom>
      <diagonal/>
    </border>
    <border>
      <left/>
      <right/>
      <top/>
      <bottom style="thin">
        <color theme="8" tint="0.39988402966399123"/>
      </bottom>
      <diagonal/>
    </border>
    <border>
      <left/>
      <right style="thin">
        <color theme="8" tint="0.39988402966399123"/>
      </right>
      <top/>
      <bottom style="thin">
        <color theme="8" tint="0.39988402966399123"/>
      </bottom>
      <diagonal/>
    </border>
    <border>
      <left style="medium">
        <color theme="8" tint="0.39985351115451523"/>
      </left>
      <right style="thin">
        <color theme="8" tint="0.39988402966399123"/>
      </right>
      <top style="thin">
        <color theme="8" tint="0.39988402966399123"/>
      </top>
      <bottom/>
      <diagonal/>
    </border>
    <border>
      <left style="medium">
        <color theme="8" tint="0.39985351115451523"/>
      </left>
      <right style="thin">
        <color theme="8" tint="0.39988402966399123"/>
      </right>
      <top/>
      <bottom style="thin">
        <color theme="8" tint="0.39988402966399123"/>
      </bottom>
      <diagonal/>
    </border>
    <border>
      <left style="thin">
        <color theme="8" tint="0.39988402966399123"/>
      </left>
      <right style="thin">
        <color theme="8" tint="0.39988402966399123"/>
      </right>
      <top style="thin">
        <color theme="8" tint="0.39988402966399123"/>
      </top>
      <bottom/>
      <diagonal/>
    </border>
    <border>
      <left style="thin">
        <color theme="8" tint="0.39988402966399123"/>
      </left>
      <right style="thin">
        <color theme="8" tint="0.39988402966399123"/>
      </right>
      <top/>
      <bottom style="thin">
        <color theme="8" tint="0.39988402966399123"/>
      </bottom>
      <diagonal/>
    </border>
    <border>
      <left style="thin">
        <color theme="8" tint="-0.24994659260841701"/>
      </left>
      <right style="thin">
        <color theme="8" tint="-0.24994659260841701"/>
      </right>
      <top style="thin">
        <color theme="8" tint="-0.24994659260841701"/>
      </top>
      <bottom/>
      <diagonal/>
    </border>
    <border>
      <left style="thin">
        <color theme="8" tint="0.39988402966399123"/>
      </left>
      <right/>
      <top style="thin">
        <color theme="8" tint="0.39988402966399123"/>
      </top>
      <bottom style="thin">
        <color theme="8" tint="0.39988402966399123"/>
      </bottom>
      <diagonal/>
    </border>
    <border>
      <left style="thin">
        <color theme="8" tint="0.39988402966399123"/>
      </left>
      <right/>
      <top style="thin">
        <color theme="8" tint="0.39988402966399123"/>
      </top>
      <bottom style="medium">
        <color theme="8" tint="0.39985351115451523"/>
      </bottom>
      <diagonal/>
    </border>
    <border>
      <left style="medium">
        <color theme="8" tint="0.39979247413556324"/>
      </left>
      <right style="medium">
        <color theme="8" tint="0.39979247413556324"/>
      </right>
      <top style="medium">
        <color theme="8" tint="0.39979247413556324"/>
      </top>
      <bottom/>
      <diagonal/>
    </border>
    <border>
      <left style="medium">
        <color theme="8" tint="0.39979247413556324"/>
      </left>
      <right style="medium">
        <color theme="8" tint="0.39979247413556324"/>
      </right>
      <top/>
      <bottom/>
      <diagonal/>
    </border>
    <border>
      <left style="medium">
        <color theme="8" tint="0.39979247413556324"/>
      </left>
      <right style="medium">
        <color theme="8" tint="0.39979247413556324"/>
      </right>
      <top/>
      <bottom style="medium">
        <color theme="8" tint="0.39982299264503923"/>
      </bottom>
      <diagonal/>
    </border>
    <border>
      <left style="medium">
        <color theme="8" tint="0.39979247413556324"/>
      </left>
      <right style="medium">
        <color theme="8" tint="0.39979247413556324"/>
      </right>
      <top/>
      <bottom style="thin">
        <color theme="8" tint="0.39988402966399123"/>
      </bottom>
      <diagonal/>
    </border>
    <border>
      <left style="medium">
        <color theme="8" tint="0.39979247413556324"/>
      </left>
      <right style="medium">
        <color theme="8" tint="0.39979247413556324"/>
      </right>
      <top style="thin">
        <color theme="8" tint="0.39988402966399123"/>
      </top>
      <bottom/>
      <diagonal/>
    </border>
    <border>
      <left style="medium">
        <color theme="8" tint="0.39979247413556324"/>
      </left>
      <right style="medium">
        <color theme="8" tint="0.39979247413556324"/>
      </right>
      <top style="thin">
        <color theme="8" tint="0.39988402966399123"/>
      </top>
      <bottom style="thin">
        <color theme="8" tint="0.39988402966399123"/>
      </bottom>
      <diagonal/>
    </border>
    <border>
      <left style="medium">
        <color theme="8" tint="0.39979247413556324"/>
      </left>
      <right style="medium">
        <color theme="8" tint="0.39979247413556324"/>
      </right>
      <top style="thin">
        <color theme="8" tint="0.39988402966399123"/>
      </top>
      <bottom style="medium">
        <color theme="8" tint="0.39979247413556324"/>
      </bottom>
      <diagonal/>
    </border>
    <border>
      <left style="medium">
        <color theme="8" tint="0.39994506668294322"/>
      </left>
      <right style="medium">
        <color theme="8" tint="0.39994506668294322"/>
      </right>
      <top style="medium">
        <color theme="8" tint="0.39994506668294322"/>
      </top>
      <bottom/>
      <diagonal/>
    </border>
    <border>
      <left style="medium">
        <color theme="8" tint="0.39994506668294322"/>
      </left>
      <right style="medium">
        <color theme="8" tint="0.39994506668294322"/>
      </right>
      <top/>
      <bottom/>
      <diagonal/>
    </border>
    <border>
      <left style="medium">
        <color theme="8" tint="0.39994506668294322"/>
      </left>
      <right style="medium">
        <color theme="8" tint="0.39994506668294322"/>
      </right>
      <top/>
      <bottom style="medium">
        <color theme="8" tint="0.39994506668294322"/>
      </bottom>
      <diagonal/>
    </border>
    <border>
      <left style="thin">
        <color theme="8" tint="0.39988402966399123"/>
      </left>
      <right style="thin">
        <color theme="8" tint="0.39988402966399123"/>
      </right>
      <top/>
      <bottom/>
      <diagonal/>
    </border>
    <border>
      <left style="medium">
        <color theme="8" tint="0.39985351115451523"/>
      </left>
      <right style="thin">
        <color theme="8" tint="0.39988402966399123"/>
      </right>
      <top/>
      <bottom/>
      <diagonal/>
    </border>
    <border>
      <left/>
      <right style="thin">
        <color theme="8" tint="0.39988402966399123"/>
      </right>
      <top style="thin">
        <color theme="8" tint="0.39988402966399123"/>
      </top>
      <bottom style="thin">
        <color theme="8" tint="0.39988402966399123"/>
      </bottom>
      <diagonal/>
    </border>
    <border>
      <left style="thin">
        <color theme="8" tint="0.39988402966399123"/>
      </left>
      <right style="thin">
        <color theme="8" tint="0.39988402966399123"/>
      </right>
      <top style="medium">
        <color theme="8" tint="0.39985351115451523"/>
      </top>
      <bottom/>
      <diagonal/>
    </border>
    <border>
      <left style="medium">
        <color theme="8" tint="0.39994506668294322"/>
      </left>
      <right/>
      <top/>
      <bottom/>
      <diagonal/>
    </border>
    <border>
      <left style="thin">
        <color theme="8" tint="0.39988402966399123"/>
      </left>
      <right style="medium">
        <color theme="8" tint="0.39979247413556324"/>
      </right>
      <top style="medium">
        <color theme="8" tint="0.39985351115451523"/>
      </top>
      <bottom/>
      <diagonal/>
    </border>
    <border>
      <left style="thin">
        <color theme="8" tint="0.39988402966399123"/>
      </left>
      <right style="medium">
        <color theme="8" tint="0.39979247413556324"/>
      </right>
      <top/>
      <bottom/>
      <diagonal/>
    </border>
    <border>
      <left style="thin">
        <color theme="8" tint="0.39988402966399123"/>
      </left>
      <right style="medium">
        <color theme="8" tint="0.39979247413556324"/>
      </right>
      <top/>
      <bottom style="thin">
        <color theme="8" tint="0.39988402966399123"/>
      </bottom>
      <diagonal/>
    </border>
    <border>
      <left style="thin">
        <color theme="8" tint="0.39988402966399123"/>
      </left>
      <right/>
      <top style="thin">
        <color theme="8" tint="0.39988402966399123"/>
      </top>
      <bottom/>
      <diagonal/>
    </border>
    <border>
      <left/>
      <right style="thin">
        <color theme="8" tint="0.39988402966399123"/>
      </right>
      <top style="thin">
        <color theme="8" tint="0.39988402966399123"/>
      </top>
      <bottom/>
      <diagonal/>
    </border>
    <border>
      <left/>
      <right style="medium">
        <color theme="8" tint="0.39994506668294322"/>
      </right>
      <top style="medium">
        <color theme="8" tint="0.39985351115451523"/>
      </top>
      <bottom/>
      <diagonal/>
    </border>
    <border>
      <left style="thin">
        <color theme="8" tint="0.39988402966399123"/>
      </left>
      <right/>
      <top/>
      <bottom/>
      <diagonal/>
    </border>
    <border>
      <left/>
      <right style="medium">
        <color theme="8" tint="0.39994506668294322"/>
      </right>
      <top/>
      <bottom/>
      <diagonal/>
    </border>
    <border>
      <left style="thin">
        <color theme="8" tint="0.39988402966399123"/>
      </left>
      <right/>
      <top/>
      <bottom style="medium">
        <color theme="8" tint="0.39985351115451523"/>
      </bottom>
      <diagonal/>
    </border>
    <border>
      <left/>
      <right style="medium">
        <color theme="8" tint="0.39994506668294322"/>
      </right>
      <top/>
      <bottom style="medium">
        <color theme="8" tint="0.39985351115451523"/>
      </bottom>
      <diagonal/>
    </border>
    <border>
      <left style="thin">
        <color rgb="FFA8D08D"/>
      </left>
      <right style="thin">
        <color rgb="FFA8D08D"/>
      </right>
      <top style="thin">
        <color rgb="FFA8D08D"/>
      </top>
      <bottom style="thin">
        <color rgb="FFA8D08D"/>
      </bottom>
      <diagonal/>
    </border>
    <border>
      <left/>
      <right style="thin">
        <color theme="8" tint="0.39988402966399123"/>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thin">
        <color theme="8" tint="0.39994506668294322"/>
      </left>
      <right style="thin">
        <color theme="8" tint="0.39994506668294322"/>
      </right>
      <top style="thin">
        <color theme="8" tint="0.39994506668294322"/>
      </top>
      <bottom/>
      <diagonal/>
    </border>
    <border>
      <left/>
      <right/>
      <top style="thin">
        <color indexed="64"/>
      </top>
      <bottom/>
      <diagonal/>
    </border>
    <border>
      <left style="thin">
        <color theme="8" tint="-0.24994659260841701"/>
      </left>
      <right/>
      <top style="thin">
        <color theme="8" tint="-0.24994659260841701"/>
      </top>
      <bottom style="thin">
        <color theme="8" tint="-0.24994659260841701"/>
      </bottom>
      <diagonal/>
    </border>
    <border>
      <left/>
      <right style="thin">
        <color theme="8" tint="-0.24994659260841701"/>
      </right>
      <top style="thin">
        <color theme="8" tint="-0.24994659260841701"/>
      </top>
      <bottom style="thin">
        <color theme="8" tint="-0.24994659260841701"/>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theme="8" tint="0.39988402966399123"/>
      </right>
      <top style="thin">
        <color theme="8" tint="0.39988402966399123"/>
      </top>
      <bottom style="medium">
        <color theme="8" tint="0.39985351115451523"/>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7" fillId="0" borderId="0"/>
    <xf numFmtId="0" fontId="2" fillId="0" borderId="0"/>
  </cellStyleXfs>
  <cellXfs count="808">
    <xf numFmtId="0" fontId="0" fillId="0" borderId="0" xfId="0"/>
    <xf numFmtId="0" fontId="4" fillId="2" borderId="0" xfId="0" applyFont="1" applyFill="1"/>
    <xf numFmtId="0" fontId="4" fillId="2" borderId="0" xfId="0" applyFont="1" applyFill="1" applyAlignment="1">
      <alignment horizontal="center"/>
    </xf>
    <xf numFmtId="0" fontId="6" fillId="2" borderId="0" xfId="0" applyFont="1" applyFill="1" applyAlignment="1">
      <alignment horizontal="center" vertical="center"/>
    </xf>
    <xf numFmtId="0" fontId="4" fillId="2" borderId="0" xfId="0" applyFont="1" applyFill="1" applyAlignment="1">
      <alignment horizontal="justify" vertical="center"/>
    </xf>
    <xf numFmtId="0" fontId="14" fillId="2" borderId="0" xfId="0" applyFont="1" applyFill="1" applyAlignment="1">
      <alignment horizontal="center" vertical="center"/>
    </xf>
    <xf numFmtId="0" fontId="4" fillId="2" borderId="0" xfId="0" applyFont="1" applyFill="1" applyAlignment="1">
      <alignment horizontal="center" vertical="center"/>
    </xf>
    <xf numFmtId="0" fontId="8" fillId="10" borderId="7"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16" fillId="6" borderId="7" xfId="3"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7" xfId="0" applyFont="1" applyFill="1" applyBorder="1" applyAlignment="1">
      <alignment horizontal="justify" vertical="center" wrapText="1"/>
    </xf>
    <xf numFmtId="9" fontId="4" fillId="9" borderId="7" xfId="2" applyFont="1" applyFill="1" applyBorder="1" applyAlignment="1">
      <alignment horizontal="center" vertical="center" wrapText="1"/>
    </xf>
    <xf numFmtId="0" fontId="10" fillId="2" borderId="7" xfId="4" applyFont="1" applyFill="1" applyBorder="1" applyAlignment="1" applyProtection="1">
      <alignment vertical="center" wrapText="1"/>
      <protection locked="0"/>
    </xf>
    <xf numFmtId="0" fontId="10" fillId="2" borderId="7" xfId="4" applyFont="1" applyFill="1" applyBorder="1" applyAlignment="1" applyProtection="1">
      <alignment horizontal="left" vertical="center" wrapText="1"/>
      <protection locked="0"/>
    </xf>
    <xf numFmtId="9" fontId="8" fillId="0" borderId="7" xfId="2" applyFont="1" applyBorder="1" applyAlignment="1" applyProtection="1">
      <alignment horizontal="center" vertical="center" wrapText="1"/>
      <protection hidden="1"/>
    </xf>
    <xf numFmtId="9" fontId="8" fillId="0" borderId="7" xfId="2" applyFont="1" applyBorder="1" applyAlignment="1" applyProtection="1">
      <alignment horizontal="center" vertical="center" wrapText="1"/>
      <protection locked="0"/>
    </xf>
    <xf numFmtId="9" fontId="8" fillId="3" borderId="7" xfId="2" applyFont="1" applyFill="1" applyBorder="1" applyAlignment="1" applyProtection="1">
      <alignment horizontal="center" vertical="center"/>
    </xf>
    <xf numFmtId="9" fontId="8" fillId="0" borderId="7" xfId="2" applyFont="1" applyBorder="1" applyAlignment="1" applyProtection="1">
      <alignment horizontal="center" vertical="center" wrapText="1"/>
      <protection locked="0" hidden="1"/>
    </xf>
    <xf numFmtId="9" fontId="8" fillId="0" borderId="7" xfId="2" applyFont="1" applyFill="1" applyBorder="1" applyAlignment="1" applyProtection="1">
      <alignment horizontal="center" vertical="center" wrapText="1"/>
      <protection locked="0" hidden="1"/>
    </xf>
    <xf numFmtId="9" fontId="4" fillId="2" borderId="7" xfId="2" applyFont="1" applyFill="1" applyBorder="1" applyAlignment="1">
      <alignment horizontal="center" vertical="center" wrapText="1"/>
    </xf>
    <xf numFmtId="9" fontId="7" fillId="20" borderId="7" xfId="2" applyFont="1" applyFill="1" applyBorder="1" applyAlignment="1">
      <alignment horizontal="center" vertical="center" wrapText="1"/>
    </xf>
    <xf numFmtId="164" fontId="7" fillId="20" borderId="7" xfId="2" applyNumberFormat="1" applyFont="1" applyFill="1" applyBorder="1" applyAlignment="1">
      <alignment horizontal="center" vertical="center" wrapText="1"/>
    </xf>
    <xf numFmtId="0" fontId="8" fillId="11" borderId="7" xfId="0" applyFont="1" applyFill="1" applyBorder="1" applyAlignment="1" applyProtection="1">
      <alignment horizontal="justify" vertical="center" wrapText="1"/>
      <protection locked="0"/>
    </xf>
    <xf numFmtId="9" fontId="4" fillId="11" borderId="7" xfId="2" applyFont="1" applyFill="1" applyBorder="1" applyAlignment="1">
      <alignment horizontal="center" vertical="center" wrapText="1"/>
    </xf>
    <xf numFmtId="0" fontId="4" fillId="11" borderId="7" xfId="0" applyFont="1" applyFill="1" applyBorder="1" applyAlignment="1">
      <alignment horizontal="center" vertical="center" wrapText="1"/>
    </xf>
    <xf numFmtId="0" fontId="10" fillId="2" borderId="7" xfId="3" applyFont="1" applyFill="1" applyBorder="1" applyAlignment="1" applyProtection="1">
      <alignment vertical="center" wrapText="1"/>
      <protection locked="0"/>
    </xf>
    <xf numFmtId="164" fontId="4" fillId="2" borderId="7" xfId="2"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10" fillId="2" borderId="7" xfId="3" applyFont="1" applyFill="1" applyBorder="1" applyAlignment="1" applyProtection="1">
      <alignment horizontal="center" vertical="center" wrapText="1"/>
      <protection locked="0"/>
    </xf>
    <xf numFmtId="9" fontId="4" fillId="3" borderId="7" xfId="2" applyFont="1" applyFill="1" applyBorder="1" applyAlignment="1">
      <alignment horizontal="center" vertical="center" wrapText="1"/>
    </xf>
    <xf numFmtId="1" fontId="4" fillId="2" borderId="7" xfId="0"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2" fontId="8" fillId="3" borderId="7" xfId="1" applyNumberFormat="1" applyFont="1" applyFill="1" applyBorder="1" applyAlignment="1" applyProtection="1">
      <alignment horizontal="center" vertical="center"/>
    </xf>
    <xf numFmtId="2" fontId="7" fillId="20" borderId="7" xfId="3" applyNumberFormat="1" applyFont="1" applyFill="1" applyBorder="1" applyAlignment="1">
      <alignment horizontal="center" vertical="center" wrapText="1"/>
    </xf>
    <xf numFmtId="9" fontId="4" fillId="0" borderId="7" xfId="2" applyFont="1" applyFill="1" applyBorder="1" applyAlignment="1">
      <alignment horizontal="center" vertical="center" wrapText="1"/>
    </xf>
    <xf numFmtId="0" fontId="8" fillId="8" borderId="7" xfId="0" applyFont="1" applyFill="1" applyBorder="1" applyAlignment="1" applyProtection="1">
      <alignment horizontal="justify" vertical="center" wrapText="1"/>
      <protection locked="0"/>
    </xf>
    <xf numFmtId="9" fontId="4" fillId="8" borderId="7" xfId="2" applyFont="1" applyFill="1" applyBorder="1" applyAlignment="1">
      <alignment horizontal="center" vertical="center" wrapText="1"/>
    </xf>
    <xf numFmtId="0" fontId="4" fillId="8" borderId="7" xfId="0" applyFont="1" applyFill="1" applyBorder="1" applyAlignment="1">
      <alignment horizontal="center" vertical="center" wrapText="1"/>
    </xf>
    <xf numFmtId="0" fontId="20" fillId="4" borderId="7" xfId="0" applyFont="1" applyFill="1" applyBorder="1" applyAlignment="1">
      <alignment vertical="center" wrapText="1"/>
    </xf>
    <xf numFmtId="0" fontId="20" fillId="4" borderId="7" xfId="0" applyFont="1" applyFill="1" applyBorder="1" applyAlignment="1">
      <alignment horizontal="center" vertical="center" wrapText="1"/>
    </xf>
    <xf numFmtId="9" fontId="8" fillId="8" borderId="7" xfId="2"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10" fillId="4" borderId="7" xfId="0" applyFont="1" applyFill="1" applyBorder="1" applyAlignment="1">
      <alignment vertical="center" wrapText="1"/>
    </xf>
    <xf numFmtId="0" fontId="10" fillId="4" borderId="7"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7" xfId="0" applyFont="1" applyFill="1" applyBorder="1"/>
    <xf numFmtId="0" fontId="8" fillId="2" borderId="7" xfId="0" applyFont="1" applyFill="1" applyBorder="1" applyAlignment="1">
      <alignment horizontal="center" vertical="center" wrapText="1"/>
    </xf>
    <xf numFmtId="0" fontId="8" fillId="7" borderId="7" xfId="0" applyFont="1" applyFill="1" applyBorder="1" applyAlignment="1" applyProtection="1">
      <alignment horizontal="justify" vertical="center" wrapText="1"/>
      <protection locked="0"/>
    </xf>
    <xf numFmtId="9" fontId="4" fillId="7" borderId="7" xfId="2" applyFont="1" applyFill="1" applyBorder="1" applyAlignment="1">
      <alignment horizontal="center" vertical="center" wrapText="1"/>
    </xf>
    <xf numFmtId="9" fontId="8" fillId="7" borderId="7" xfId="2" applyFont="1" applyFill="1" applyBorder="1" applyAlignment="1">
      <alignment horizontal="center" vertical="center" wrapText="1"/>
    </xf>
    <xf numFmtId="0" fontId="19" fillId="2" borderId="7" xfId="0" applyFont="1" applyFill="1" applyBorder="1"/>
    <xf numFmtId="0" fontId="4" fillId="7" borderId="7" xfId="0" applyFont="1" applyFill="1" applyBorder="1" applyAlignment="1">
      <alignment horizontal="center" vertical="center" wrapText="1"/>
    </xf>
    <xf numFmtId="0" fontId="4" fillId="7" borderId="7" xfId="0" applyFont="1" applyFill="1" applyBorder="1" applyAlignment="1">
      <alignment horizontal="center" vertical="center"/>
    </xf>
    <xf numFmtId="2" fontId="4" fillId="2" borderId="7" xfId="0" applyNumberFormat="1" applyFont="1" applyFill="1" applyBorder="1" applyAlignment="1">
      <alignment horizontal="center" vertical="center" wrapText="1"/>
    </xf>
    <xf numFmtId="9" fontId="4" fillId="12" borderId="7" xfId="2" applyFont="1" applyFill="1" applyBorder="1" applyAlignment="1">
      <alignment horizontal="center" vertical="center" wrapText="1"/>
    </xf>
    <xf numFmtId="0" fontId="4" fillId="12" borderId="7" xfId="0" applyFont="1" applyFill="1" applyBorder="1" applyAlignment="1">
      <alignment horizontal="center" vertical="center" wrapText="1"/>
    </xf>
    <xf numFmtId="0" fontId="9" fillId="14" borderId="7" xfId="0" applyFont="1" applyFill="1" applyBorder="1" applyAlignment="1">
      <alignment vertical="center" wrapText="1"/>
    </xf>
    <xf numFmtId="0" fontId="4" fillId="12" borderId="7" xfId="0" applyFont="1" applyFill="1" applyBorder="1" applyAlignment="1">
      <alignment horizontal="center" vertical="center"/>
    </xf>
    <xf numFmtId="0" fontId="8" fillId="13" borderId="7" xfId="0" applyFont="1" applyFill="1" applyBorder="1" applyAlignment="1" applyProtection="1">
      <alignment horizontal="justify" vertical="center" wrapText="1"/>
      <protection locked="0"/>
    </xf>
    <xf numFmtId="9" fontId="4" fillId="13" borderId="7" xfId="2" applyFont="1" applyFill="1" applyBorder="1" applyAlignment="1">
      <alignment horizontal="center" vertical="center" wrapText="1"/>
    </xf>
    <xf numFmtId="0" fontId="4" fillId="13" borderId="7" xfId="0" applyFont="1" applyFill="1" applyBorder="1" applyAlignment="1">
      <alignment horizontal="center" vertical="center" wrapText="1"/>
    </xf>
    <xf numFmtId="0" fontId="9" fillId="2" borderId="7" xfId="0" applyFont="1" applyFill="1" applyBorder="1" applyAlignment="1">
      <alignment vertical="center" wrapText="1"/>
    </xf>
    <xf numFmtId="0" fontId="9" fillId="2" borderId="7" xfId="0" applyFont="1" applyFill="1" applyBorder="1" applyAlignment="1">
      <alignment vertical="center"/>
    </xf>
    <xf numFmtId="0" fontId="4" fillId="13" borderId="7" xfId="0" applyFont="1" applyFill="1" applyBorder="1" applyAlignment="1">
      <alignment horizontal="center" vertical="center"/>
    </xf>
    <xf numFmtId="0" fontId="8" fillId="13" borderId="7" xfId="0" applyFont="1" applyFill="1" applyBorder="1" applyAlignment="1" applyProtection="1">
      <alignment vertical="center" wrapText="1"/>
      <protection locked="0"/>
    </xf>
    <xf numFmtId="9" fontId="4" fillId="13" borderId="7" xfId="0" applyNumberFormat="1" applyFont="1" applyFill="1" applyBorder="1" applyAlignment="1">
      <alignment horizontal="center" vertical="center"/>
    </xf>
    <xf numFmtId="0" fontId="8" fillId="15" borderId="7" xfId="0" applyFont="1" applyFill="1" applyBorder="1" applyAlignment="1" applyProtection="1">
      <alignment horizontal="justify" vertical="center" wrapText="1"/>
      <protection locked="0"/>
    </xf>
    <xf numFmtId="0" fontId="4" fillId="15" borderId="7" xfId="0" applyFont="1" applyFill="1" applyBorder="1" applyAlignment="1">
      <alignment horizontal="center" vertical="center"/>
    </xf>
    <xf numFmtId="9" fontId="4" fillId="2" borderId="7" xfId="2" applyNumberFormat="1" applyFont="1" applyFill="1" applyBorder="1" applyAlignment="1">
      <alignment horizontal="center" vertical="center" wrapText="1"/>
    </xf>
    <xf numFmtId="0" fontId="8" fillId="15" borderId="10" xfId="0" applyFont="1" applyFill="1" applyBorder="1" applyAlignment="1" applyProtection="1">
      <alignment horizontal="center" vertical="center" wrapText="1"/>
      <protection locked="0"/>
    </xf>
    <xf numFmtId="0" fontId="8" fillId="16" borderId="11" xfId="0" applyFont="1" applyFill="1" applyBorder="1" applyAlignment="1" applyProtection="1">
      <alignment horizontal="center" vertical="center" wrapText="1"/>
      <protection locked="0"/>
    </xf>
    <xf numFmtId="0" fontId="8" fillId="16" borderId="12" xfId="0" applyFont="1" applyFill="1" applyBorder="1" applyAlignment="1" applyProtection="1">
      <alignment horizontal="justify" vertical="center" wrapText="1"/>
      <protection locked="0"/>
    </xf>
    <xf numFmtId="9" fontId="4" fillId="16" borderId="12" xfId="2" applyFont="1" applyFill="1" applyBorder="1" applyAlignment="1">
      <alignment horizontal="center" vertical="center" wrapText="1"/>
    </xf>
    <xf numFmtId="10" fontId="4" fillId="2" borderId="12" xfId="2" applyNumberFormat="1" applyFont="1" applyFill="1" applyBorder="1" applyAlignment="1">
      <alignment horizontal="center" vertical="center" wrapText="1"/>
    </xf>
    <xf numFmtId="9" fontId="8" fillId="3" borderId="12" xfId="2" applyFont="1" applyFill="1" applyBorder="1" applyAlignment="1" applyProtection="1">
      <alignment horizontal="center" vertical="center"/>
    </xf>
    <xf numFmtId="9" fontId="4" fillId="2" borderId="12" xfId="2" applyFont="1" applyFill="1" applyBorder="1" applyAlignment="1">
      <alignment horizontal="center" vertical="center" wrapText="1"/>
    </xf>
    <xf numFmtId="9" fontId="4" fillId="2" borderId="12" xfId="2" applyFont="1" applyFill="1" applyBorder="1"/>
    <xf numFmtId="9" fontId="4" fillId="0" borderId="12" xfId="2" applyFont="1" applyFill="1" applyBorder="1" applyAlignment="1">
      <alignment horizontal="center" vertical="center" wrapText="1"/>
    </xf>
    <xf numFmtId="1" fontId="4" fillId="2" borderId="12" xfId="0" applyNumberFormat="1" applyFont="1" applyFill="1" applyBorder="1" applyAlignment="1">
      <alignment horizontal="center" vertical="center" wrapText="1"/>
    </xf>
    <xf numFmtId="9" fontId="7" fillId="20" borderId="12" xfId="2" applyFont="1" applyFill="1" applyBorder="1" applyAlignment="1">
      <alignment horizontal="center" vertical="center" wrapText="1"/>
    </xf>
    <xf numFmtId="164" fontId="7" fillId="20" borderId="12" xfId="2" applyNumberFormat="1" applyFont="1" applyFill="1" applyBorder="1" applyAlignment="1">
      <alignment horizontal="center" vertical="center" wrapText="1"/>
    </xf>
    <xf numFmtId="0" fontId="17" fillId="10" borderId="7" xfId="3" applyFont="1" applyFill="1" applyBorder="1" applyAlignment="1">
      <alignment horizontal="center" vertical="center" wrapText="1"/>
    </xf>
    <xf numFmtId="0" fontId="17" fillId="5" borderId="7" xfId="3" applyFont="1" applyFill="1" applyBorder="1" applyAlignment="1">
      <alignment horizontal="center" vertical="center" wrapText="1"/>
    </xf>
    <xf numFmtId="164" fontId="7" fillId="18" borderId="7" xfId="2" applyNumberFormat="1" applyFont="1" applyFill="1" applyBorder="1" applyAlignment="1">
      <alignment horizontal="center" vertical="center" wrapText="1"/>
    </xf>
    <xf numFmtId="164" fontId="21" fillId="17" borderId="7" xfId="2" applyNumberFormat="1" applyFont="1" applyFill="1" applyBorder="1" applyAlignment="1">
      <alignment horizontal="center" vertical="center" wrapText="1"/>
    </xf>
    <xf numFmtId="164" fontId="7" fillId="18" borderId="12" xfId="2" applyNumberFormat="1" applyFont="1" applyFill="1" applyBorder="1" applyAlignment="1">
      <alignment horizontal="center" vertical="center" wrapText="1"/>
    </xf>
    <xf numFmtId="0" fontId="12" fillId="7" borderId="2" xfId="0" applyFont="1" applyFill="1" applyBorder="1" applyAlignment="1">
      <alignment horizontal="center"/>
    </xf>
    <xf numFmtId="0" fontId="11" fillId="0" borderId="0" xfId="0" applyFont="1"/>
    <xf numFmtId="0" fontId="8" fillId="2" borderId="2" xfId="0" applyFont="1" applyFill="1" applyBorder="1" applyAlignment="1" applyProtection="1">
      <alignment horizontal="center" vertical="center" wrapText="1"/>
      <protection locked="0"/>
    </xf>
    <xf numFmtId="0" fontId="4" fillId="9" borderId="6" xfId="0" applyFont="1" applyFill="1" applyBorder="1" applyAlignment="1">
      <alignment horizontal="justify" vertical="center" wrapText="1"/>
    </xf>
    <xf numFmtId="0" fontId="9" fillId="9"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8" fillId="11" borderId="6" xfId="0" applyFont="1" applyFill="1" applyBorder="1" applyAlignment="1" applyProtection="1">
      <alignment horizontal="justify" vertical="center" wrapText="1"/>
      <protection locked="0"/>
    </xf>
    <xf numFmtId="0" fontId="8" fillId="8" borderId="6" xfId="0" applyFont="1" applyFill="1" applyBorder="1" applyAlignment="1" applyProtection="1">
      <alignment horizontal="justify" vertical="center" wrapText="1"/>
      <protection locked="0"/>
    </xf>
    <xf numFmtId="0" fontId="9" fillId="8" borderId="6" xfId="0" applyFont="1" applyFill="1" applyBorder="1" applyAlignment="1">
      <alignment horizontal="center" vertical="center" wrapText="1"/>
    </xf>
    <xf numFmtId="0" fontId="8" fillId="7" borderId="6" xfId="0" applyFont="1" applyFill="1" applyBorder="1" applyAlignment="1" applyProtection="1">
      <alignment horizontal="justify" vertical="center" wrapText="1"/>
      <protection locked="0"/>
    </xf>
    <xf numFmtId="0" fontId="9" fillId="7" borderId="6" xfId="0" applyFont="1" applyFill="1" applyBorder="1" applyAlignment="1">
      <alignment horizontal="center" vertical="center" wrapText="1"/>
    </xf>
    <xf numFmtId="0" fontId="8" fillId="12" borderId="6" xfId="0" applyFont="1" applyFill="1" applyBorder="1" applyAlignment="1" applyProtection="1">
      <alignment horizontal="justify" vertical="center" wrapText="1"/>
      <protection locked="0"/>
    </xf>
    <xf numFmtId="0" fontId="9" fillId="12" borderId="6" xfId="0" applyFont="1" applyFill="1" applyBorder="1" applyAlignment="1">
      <alignment horizontal="center" vertical="center" wrapText="1"/>
    </xf>
    <xf numFmtId="0" fontId="8" fillId="13" borderId="6" xfId="0" applyFont="1" applyFill="1" applyBorder="1" applyAlignment="1" applyProtection="1">
      <alignment horizontal="justify" vertical="center" wrapText="1"/>
      <protection locked="0"/>
    </xf>
    <xf numFmtId="0" fontId="9" fillId="13" borderId="6" xfId="0" applyFont="1" applyFill="1" applyBorder="1" applyAlignment="1">
      <alignment horizontal="center" vertical="center" wrapText="1"/>
    </xf>
    <xf numFmtId="0" fontId="8" fillId="13" borderId="6" xfId="0" applyFont="1" applyFill="1" applyBorder="1" applyAlignment="1" applyProtection="1">
      <alignment vertical="center" wrapText="1"/>
      <protection locked="0"/>
    </xf>
    <xf numFmtId="0" fontId="8" fillId="15" borderId="6" xfId="0" applyFont="1" applyFill="1" applyBorder="1" applyAlignment="1" applyProtection="1">
      <alignment horizontal="justify" vertical="center" wrapText="1"/>
      <protection locked="0"/>
    </xf>
    <xf numFmtId="0" fontId="9" fillId="15" borderId="6" xfId="0" applyFont="1" applyFill="1" applyBorder="1" applyAlignment="1">
      <alignment horizontal="center" vertical="center" wrapText="1"/>
    </xf>
    <xf numFmtId="0" fontId="8" fillId="16" borderId="6" xfId="0" applyFont="1" applyFill="1" applyBorder="1" applyAlignment="1" applyProtection="1">
      <alignment horizontal="justify" vertical="center" wrapText="1"/>
      <protection locked="0"/>
    </xf>
    <xf numFmtId="0" fontId="9" fillId="16" borderId="6" xfId="0" applyFont="1" applyFill="1" applyBorder="1" applyAlignment="1">
      <alignment horizontal="center" vertical="center" wrapText="1"/>
    </xf>
    <xf numFmtId="0" fontId="8" fillId="15" borderId="2" xfId="0" applyFont="1" applyFill="1" applyBorder="1" applyAlignment="1" applyProtection="1">
      <alignment horizontal="center" vertical="center" wrapText="1"/>
      <protection locked="0"/>
    </xf>
    <xf numFmtId="0" fontId="3" fillId="2" borderId="27" xfId="0" applyFont="1" applyFill="1" applyBorder="1" applyAlignment="1">
      <alignment vertical="center" wrapText="1"/>
    </xf>
    <xf numFmtId="10" fontId="13" fillId="15" borderId="34" xfId="0" applyNumberFormat="1" applyFont="1" applyFill="1" applyBorder="1" applyAlignment="1" applyProtection="1">
      <alignment horizontal="center" vertical="center" wrapText="1"/>
      <protection locked="0"/>
    </xf>
    <xf numFmtId="10" fontId="13" fillId="16" borderId="35" xfId="0" applyNumberFormat="1" applyFont="1" applyFill="1" applyBorder="1" applyAlignment="1" applyProtection="1">
      <alignment horizontal="center" vertical="center" wrapText="1"/>
      <protection locked="0"/>
    </xf>
    <xf numFmtId="0" fontId="11" fillId="2" borderId="1" xfId="0" applyFont="1" applyFill="1" applyBorder="1" applyAlignment="1">
      <alignment vertical="center"/>
    </xf>
    <xf numFmtId="0" fontId="7" fillId="19" borderId="7" xfId="3" applyFont="1" applyFill="1" applyBorder="1" applyAlignment="1">
      <alignment horizontal="center" vertical="center" wrapText="1"/>
    </xf>
    <xf numFmtId="0" fontId="22" fillId="5" borderId="7" xfId="3" applyFont="1" applyFill="1" applyBorder="1" applyAlignment="1">
      <alignment horizontal="center" vertical="center" wrapText="1"/>
    </xf>
    <xf numFmtId="0" fontId="15" fillId="6" borderId="7" xfId="3" applyFont="1" applyFill="1" applyBorder="1" applyAlignment="1">
      <alignment horizontal="center" vertical="center" wrapText="1"/>
    </xf>
    <xf numFmtId="0" fontId="22" fillId="10" borderId="7" xfId="3" applyFont="1" applyFill="1" applyBorder="1" applyAlignment="1">
      <alignment horizontal="center" vertical="center" wrapText="1"/>
    </xf>
    <xf numFmtId="0" fontId="8" fillId="12" borderId="7" xfId="0" applyFont="1" applyFill="1" applyBorder="1" applyAlignment="1" applyProtection="1">
      <alignment horizontal="justify" vertical="center" wrapText="1"/>
      <protection locked="0"/>
    </xf>
    <xf numFmtId="0" fontId="5" fillId="21" borderId="9" xfId="0" applyFont="1" applyFill="1" applyBorder="1" applyAlignment="1">
      <alignment vertical="center" wrapText="1"/>
    </xf>
    <xf numFmtId="0" fontId="3" fillId="2" borderId="27" xfId="0" applyFont="1" applyFill="1" applyBorder="1" applyAlignment="1">
      <alignment vertical="center"/>
    </xf>
    <xf numFmtId="0" fontId="3" fillId="2" borderId="28" xfId="0" applyFont="1" applyFill="1" applyBorder="1" applyAlignment="1">
      <alignment vertical="center" wrapText="1"/>
    </xf>
    <xf numFmtId="0" fontId="8" fillId="23" borderId="11" xfId="0" applyFont="1" applyFill="1" applyBorder="1" applyAlignment="1" applyProtection="1">
      <alignment horizontal="center" vertical="center" wrapText="1"/>
      <protection locked="0"/>
    </xf>
    <xf numFmtId="0" fontId="8" fillId="23" borderId="12" xfId="0" applyFont="1" applyFill="1" applyBorder="1" applyAlignment="1" applyProtection="1">
      <alignment horizontal="justify" vertical="center" wrapText="1"/>
      <protection locked="0"/>
    </xf>
    <xf numFmtId="9" fontId="4" fillId="23" borderId="12" xfId="2" applyFont="1" applyFill="1" applyBorder="1" applyAlignment="1">
      <alignment horizontal="center" vertical="center" wrapText="1"/>
    </xf>
    <xf numFmtId="0" fontId="4" fillId="23" borderId="12" xfId="0" applyFont="1" applyFill="1" applyBorder="1" applyAlignment="1">
      <alignment horizontal="center" vertical="center" wrapText="1"/>
    </xf>
    <xf numFmtId="0" fontId="10" fillId="23" borderId="12" xfId="4" applyFont="1" applyFill="1" applyBorder="1" applyAlignment="1" applyProtection="1">
      <alignment vertical="center" wrapText="1"/>
      <protection locked="0"/>
    </xf>
    <xf numFmtId="0" fontId="10" fillId="23" borderId="12" xfId="4" applyFont="1" applyFill="1" applyBorder="1" applyAlignment="1" applyProtection="1">
      <alignment horizontal="left" vertical="center" wrapText="1"/>
      <protection locked="0"/>
    </xf>
    <xf numFmtId="10" fontId="13" fillId="23" borderId="35" xfId="0" applyNumberFormat="1" applyFont="1" applyFill="1" applyBorder="1" applyAlignment="1" applyProtection="1">
      <alignment horizontal="center" vertical="center" wrapText="1"/>
      <protection locked="0"/>
    </xf>
    <xf numFmtId="0" fontId="8" fillId="24" borderId="10" xfId="0" applyFont="1" applyFill="1" applyBorder="1" applyAlignment="1" applyProtection="1">
      <alignment horizontal="center" vertical="center" wrapText="1"/>
      <protection locked="0"/>
    </xf>
    <xf numFmtId="0" fontId="8" fillId="24" borderId="7" xfId="0" applyFont="1" applyFill="1" applyBorder="1" applyAlignment="1" applyProtection="1">
      <alignment horizontal="justify" vertical="center" wrapText="1"/>
      <protection locked="0"/>
    </xf>
    <xf numFmtId="9" fontId="4" fillId="24" borderId="7" xfId="2" applyFont="1" applyFill="1" applyBorder="1" applyAlignment="1">
      <alignment horizontal="center" vertical="center" wrapText="1"/>
    </xf>
    <xf numFmtId="0" fontId="4" fillId="24" borderId="7" xfId="0" applyFont="1" applyFill="1" applyBorder="1" applyAlignment="1">
      <alignment horizontal="center" vertical="center" wrapText="1"/>
    </xf>
    <xf numFmtId="0" fontId="10" fillId="24" borderId="7" xfId="4" applyFont="1" applyFill="1" applyBorder="1" applyAlignment="1" applyProtection="1">
      <alignment vertical="center" wrapText="1"/>
      <protection locked="0"/>
    </xf>
    <xf numFmtId="0" fontId="10" fillId="24" borderId="7" xfId="4" applyFont="1" applyFill="1" applyBorder="1" applyAlignment="1" applyProtection="1">
      <alignment horizontal="left" vertical="center" wrapText="1"/>
      <protection locked="0"/>
    </xf>
    <xf numFmtId="0" fontId="4" fillId="24" borderId="7" xfId="0" applyFont="1" applyFill="1" applyBorder="1" applyAlignment="1">
      <alignment horizontal="center" vertical="center"/>
    </xf>
    <xf numFmtId="10" fontId="13" fillId="24" borderId="34" xfId="0" applyNumberFormat="1" applyFont="1" applyFill="1" applyBorder="1" applyAlignment="1" applyProtection="1">
      <alignment horizontal="center" vertical="center" wrapText="1"/>
      <protection locked="0"/>
    </xf>
    <xf numFmtId="0" fontId="8" fillId="25" borderId="7" xfId="0" applyFont="1" applyFill="1" applyBorder="1" applyAlignment="1" applyProtection="1">
      <alignment vertical="center" wrapText="1"/>
      <protection locked="0"/>
    </xf>
    <xf numFmtId="9" fontId="4" fillId="25" borderId="7" xfId="2" applyFont="1" applyFill="1" applyBorder="1" applyAlignment="1">
      <alignment horizontal="center" vertical="center" wrapText="1"/>
    </xf>
    <xf numFmtId="0" fontId="4" fillId="25" borderId="7" xfId="0" applyFont="1" applyFill="1" applyBorder="1" applyAlignment="1">
      <alignment horizontal="center" vertical="center" wrapText="1"/>
    </xf>
    <xf numFmtId="0" fontId="3" fillId="2" borderId="28" xfId="0" applyFont="1" applyFill="1" applyBorder="1" applyAlignment="1">
      <alignment wrapText="1"/>
    </xf>
    <xf numFmtId="0" fontId="3" fillId="2" borderId="27" xfId="0" applyFont="1" applyFill="1" applyBorder="1" applyAlignment="1">
      <alignment wrapText="1"/>
    </xf>
    <xf numFmtId="0" fontId="3" fillId="2" borderId="27" xfId="0" applyFont="1" applyFill="1" applyBorder="1" applyAlignment="1">
      <alignment vertical="top" wrapText="1"/>
    </xf>
    <xf numFmtId="4" fontId="4" fillId="2" borderId="7" xfId="0" applyNumberFormat="1" applyFont="1" applyFill="1" applyBorder="1" applyAlignment="1">
      <alignment horizontal="center" vertical="center" wrapText="1"/>
    </xf>
    <xf numFmtId="4" fontId="8" fillId="3" borderId="7" xfId="1" applyNumberFormat="1" applyFont="1" applyFill="1" applyBorder="1" applyAlignment="1" applyProtection="1">
      <alignment horizontal="center" vertical="center"/>
    </xf>
    <xf numFmtId="0" fontId="26" fillId="2" borderId="27" xfId="0" applyFont="1" applyFill="1" applyBorder="1" applyAlignment="1">
      <alignment vertical="center" wrapText="1"/>
    </xf>
    <xf numFmtId="0" fontId="22" fillId="5" borderId="7" xfId="3" applyFont="1" applyFill="1" applyBorder="1" applyAlignment="1">
      <alignment horizontal="center" vertical="center" wrapText="1"/>
    </xf>
    <xf numFmtId="0" fontId="15" fillId="6" borderId="7" xfId="3" applyFont="1" applyFill="1" applyBorder="1" applyAlignment="1">
      <alignment horizontal="center" vertical="center" wrapText="1"/>
    </xf>
    <xf numFmtId="0" fontId="7" fillId="19" borderId="7" xfId="3" applyFont="1" applyFill="1" applyBorder="1" applyAlignment="1">
      <alignment horizontal="center" vertical="center" wrapText="1"/>
    </xf>
    <xf numFmtId="0" fontId="22" fillId="10" borderId="7" xfId="3" applyFont="1" applyFill="1" applyBorder="1" applyAlignment="1">
      <alignment horizontal="center" vertical="center" wrapText="1"/>
    </xf>
    <xf numFmtId="0" fontId="8" fillId="12" borderId="7" xfId="0" applyFont="1" applyFill="1" applyBorder="1" applyAlignment="1" applyProtection="1">
      <alignment horizontal="justify" vertical="center" wrapText="1"/>
      <protection locked="0"/>
    </xf>
    <xf numFmtId="0" fontId="8" fillId="13" borderId="24" xfId="0" applyFont="1" applyFill="1" applyBorder="1" applyAlignment="1" applyProtection="1">
      <alignment vertical="center" wrapText="1"/>
      <protection locked="0"/>
    </xf>
    <xf numFmtId="3" fontId="8" fillId="3" borderId="7" xfId="1" applyNumberFormat="1" applyFont="1" applyFill="1" applyBorder="1" applyAlignment="1" applyProtection="1">
      <alignment horizontal="center" vertical="center"/>
    </xf>
    <xf numFmtId="0" fontId="29" fillId="2" borderId="0" xfId="0" applyFont="1" applyFill="1"/>
    <xf numFmtId="0" fontId="29" fillId="9" borderId="7" xfId="0" applyFont="1" applyFill="1" applyBorder="1" applyAlignment="1">
      <alignment horizontal="justify" vertical="center" wrapText="1"/>
    </xf>
    <xf numFmtId="0" fontId="29" fillId="2" borderId="7" xfId="0" applyFont="1" applyFill="1" applyBorder="1" applyAlignment="1">
      <alignment horizontal="center" vertical="center" wrapText="1"/>
    </xf>
    <xf numFmtId="0" fontId="31" fillId="11" borderId="7" xfId="0" applyFont="1" applyFill="1" applyBorder="1" applyAlignment="1" applyProtection="1">
      <alignment horizontal="justify" vertical="center" wrapText="1"/>
      <protection locked="0"/>
    </xf>
    <xf numFmtId="2" fontId="31" fillId="3" borderId="7" xfId="1" applyNumberFormat="1" applyFont="1" applyFill="1" applyBorder="1" applyAlignment="1" applyProtection="1">
      <alignment horizontal="center" vertical="center"/>
    </xf>
    <xf numFmtId="0" fontId="31" fillId="8" borderId="7" xfId="0" applyFont="1" applyFill="1" applyBorder="1" applyAlignment="1" applyProtection="1">
      <alignment horizontal="justify" vertical="center" wrapText="1"/>
      <protection locked="0"/>
    </xf>
    <xf numFmtId="0" fontId="31" fillId="2" borderId="7" xfId="0" applyFont="1" applyFill="1" applyBorder="1" applyAlignment="1" applyProtection="1">
      <alignment horizontal="center" vertical="center" wrapText="1"/>
      <protection locked="0"/>
    </xf>
    <xf numFmtId="0" fontId="29" fillId="2" borderId="7" xfId="0" applyFont="1" applyFill="1" applyBorder="1" applyAlignment="1">
      <alignment horizontal="center" vertical="center"/>
    </xf>
    <xf numFmtId="0" fontId="29" fillId="2" borderId="7" xfId="0" applyFont="1" applyFill="1" applyBorder="1"/>
    <xf numFmtId="0" fontId="31" fillId="2" borderId="7" xfId="0" applyFont="1" applyFill="1" applyBorder="1" applyAlignment="1">
      <alignment horizontal="center" vertical="center" wrapText="1"/>
    </xf>
    <xf numFmtId="0" fontId="31" fillId="7" borderId="7" xfId="0" applyFont="1" applyFill="1" applyBorder="1" applyAlignment="1" applyProtection="1">
      <alignment horizontal="justify" vertical="center" wrapText="1"/>
      <protection locked="0"/>
    </xf>
    <xf numFmtId="2" fontId="29" fillId="2" borderId="7" xfId="0" applyNumberFormat="1" applyFont="1" applyFill="1" applyBorder="1" applyAlignment="1">
      <alignment horizontal="center" vertical="center" wrapText="1"/>
    </xf>
    <xf numFmtId="0" fontId="32" fillId="2" borderId="0" xfId="0" applyFont="1" applyFill="1"/>
    <xf numFmtId="0" fontId="32" fillId="2" borderId="0" xfId="0" applyFont="1" applyFill="1" applyAlignment="1">
      <alignment horizontal="justify" vertical="center"/>
    </xf>
    <xf numFmtId="0" fontId="28" fillId="5" borderId="7" xfId="3" applyFont="1" applyFill="1" applyBorder="1" applyAlignment="1">
      <alignment horizontal="center" vertical="center" wrapText="1"/>
    </xf>
    <xf numFmtId="0" fontId="28" fillId="6" borderId="7" xfId="3" applyFont="1" applyFill="1" applyBorder="1" applyAlignment="1">
      <alignment horizontal="center" vertical="center" wrapText="1"/>
    </xf>
    <xf numFmtId="0" fontId="28" fillId="6" borderId="7" xfId="0" applyFont="1" applyFill="1" applyBorder="1" applyAlignment="1">
      <alignment horizontal="center" vertical="center" wrapText="1"/>
    </xf>
    <xf numFmtId="0" fontId="28" fillId="2" borderId="0" xfId="0" applyFont="1" applyFill="1" applyAlignment="1">
      <alignment horizontal="center" vertical="center"/>
    </xf>
    <xf numFmtId="0" fontId="31" fillId="2" borderId="7" xfId="4" applyFont="1" applyFill="1" applyBorder="1" applyAlignment="1" applyProtection="1">
      <alignment vertical="center" wrapText="1"/>
      <protection locked="0"/>
    </xf>
    <xf numFmtId="0" fontId="31" fillId="2" borderId="7" xfId="4" applyFont="1" applyFill="1" applyBorder="1" applyAlignment="1" applyProtection="1">
      <alignment horizontal="left" vertical="center" wrapText="1"/>
      <protection locked="0"/>
    </xf>
    <xf numFmtId="0" fontId="29" fillId="2" borderId="27" xfId="0" applyFont="1" applyFill="1" applyBorder="1" applyAlignment="1">
      <alignment horizontal="justify" vertical="center" wrapText="1"/>
    </xf>
    <xf numFmtId="0" fontId="31" fillId="2" borderId="7" xfId="3" applyFont="1" applyFill="1" applyBorder="1" applyAlignment="1" applyProtection="1">
      <alignment vertical="center" wrapText="1"/>
      <protection locked="0"/>
    </xf>
    <xf numFmtId="0" fontId="31" fillId="2" borderId="7" xfId="3" applyFont="1" applyFill="1" applyBorder="1" applyAlignment="1" applyProtection="1">
      <alignment horizontal="center" vertical="center" wrapText="1"/>
      <protection locked="0"/>
    </xf>
    <xf numFmtId="0" fontId="36" fillId="4" borderId="7" xfId="0" applyFont="1" applyFill="1" applyBorder="1" applyAlignment="1">
      <alignment vertical="center" wrapText="1"/>
    </xf>
    <xf numFmtId="0" fontId="36" fillId="4" borderId="7" xfId="0" applyFont="1" applyFill="1" applyBorder="1" applyAlignment="1">
      <alignment horizontal="center" vertical="center" wrapText="1"/>
    </xf>
    <xf numFmtId="0" fontId="31" fillId="4" borderId="7" xfId="0" applyFont="1" applyFill="1" applyBorder="1" applyAlignment="1">
      <alignment vertical="center" wrapText="1"/>
    </xf>
    <xf numFmtId="0" fontId="31" fillId="4" borderId="7" xfId="0" applyFont="1" applyFill="1" applyBorder="1" applyAlignment="1">
      <alignment horizontal="center" vertical="center" wrapText="1"/>
    </xf>
    <xf numFmtId="0" fontId="29" fillId="14" borderId="7" xfId="0" applyFont="1" applyFill="1" applyBorder="1" applyAlignment="1">
      <alignment vertical="center" wrapText="1"/>
    </xf>
    <xf numFmtId="0" fontId="31" fillId="2" borderId="12" xfId="4" applyFont="1" applyFill="1" applyBorder="1" applyAlignment="1" applyProtection="1">
      <alignment vertical="center" wrapText="1"/>
      <protection locked="0"/>
    </xf>
    <xf numFmtId="0" fontId="31" fillId="2" borderId="12" xfId="4" applyFont="1" applyFill="1" applyBorder="1" applyAlignment="1" applyProtection="1">
      <alignment horizontal="left" vertical="center" wrapText="1"/>
      <protection locked="0"/>
    </xf>
    <xf numFmtId="0" fontId="29" fillId="2" borderId="28" xfId="0" applyFont="1" applyFill="1" applyBorder="1" applyAlignment="1">
      <alignment horizontal="justify" vertical="center" wrapText="1"/>
    </xf>
    <xf numFmtId="2" fontId="29" fillId="2" borderId="7" xfId="2" applyNumberFormat="1" applyFont="1" applyFill="1" applyBorder="1" applyAlignment="1">
      <alignment horizontal="center" vertical="center" wrapText="1"/>
    </xf>
    <xf numFmtId="1" fontId="29" fillId="2" borderId="7" xfId="2" applyNumberFormat="1" applyFont="1" applyFill="1" applyBorder="1" applyAlignment="1">
      <alignment horizontal="center" vertical="center" wrapText="1"/>
    </xf>
    <xf numFmtId="1" fontId="31" fillId="3" borderId="7" xfId="1" applyNumberFormat="1" applyFont="1" applyFill="1" applyBorder="1" applyAlignment="1" applyProtection="1">
      <alignment horizontal="center" vertical="center"/>
    </xf>
    <xf numFmtId="1" fontId="37" fillId="0" borderId="54" xfId="0" applyNumberFormat="1" applyFont="1" applyBorder="1" applyAlignment="1">
      <alignment horizontal="center" vertical="center" wrapText="1"/>
    </xf>
    <xf numFmtId="1" fontId="4" fillId="26" borderId="54" xfId="0" applyNumberFormat="1" applyFont="1" applyFill="1" applyBorder="1" applyAlignment="1">
      <alignment horizontal="center" vertical="center"/>
    </xf>
    <xf numFmtId="1" fontId="4" fillId="0" borderId="54" xfId="0" applyNumberFormat="1" applyFont="1" applyBorder="1" applyAlignment="1">
      <alignment horizontal="center" vertical="center" wrapText="1"/>
    </xf>
    <xf numFmtId="1" fontId="29" fillId="2" borderId="7" xfId="0" applyNumberFormat="1" applyFont="1" applyFill="1" applyBorder="1" applyAlignment="1">
      <alignment horizontal="center" vertical="center"/>
    </xf>
    <xf numFmtId="2" fontId="29" fillId="11" borderId="7" xfId="2" applyNumberFormat="1" applyFont="1" applyFill="1" applyBorder="1" applyAlignment="1">
      <alignment horizontal="center" vertical="center" wrapText="1"/>
    </xf>
    <xf numFmtId="2" fontId="29" fillId="3" borderId="7" xfId="2" applyNumberFormat="1" applyFont="1" applyFill="1" applyBorder="1" applyAlignment="1">
      <alignment horizontal="center" vertical="center" wrapText="1"/>
    </xf>
    <xf numFmtId="1" fontId="29" fillId="3" borderId="7" xfId="2" applyNumberFormat="1" applyFont="1" applyFill="1" applyBorder="1" applyAlignment="1">
      <alignment horizontal="center" vertical="center" wrapText="1"/>
    </xf>
    <xf numFmtId="1" fontId="31" fillId="3" borderId="7" xfId="2" applyNumberFormat="1" applyFont="1" applyFill="1" applyBorder="1" applyAlignment="1" applyProtection="1">
      <alignment horizontal="center" vertical="center"/>
    </xf>
    <xf numFmtId="1" fontId="29" fillId="2" borderId="7" xfId="0" applyNumberFormat="1" applyFont="1" applyFill="1" applyBorder="1" applyAlignment="1">
      <alignment horizontal="center" vertical="center" wrapText="1"/>
    </xf>
    <xf numFmtId="1" fontId="29" fillId="3" borderId="7" xfId="0" applyNumberFormat="1" applyFont="1" applyFill="1" applyBorder="1" applyAlignment="1">
      <alignment horizontal="center" vertical="center" wrapText="1"/>
    </xf>
    <xf numFmtId="1" fontId="29" fillId="11" borderId="7" xfId="2" applyNumberFormat="1" applyFont="1" applyFill="1" applyBorder="1" applyAlignment="1">
      <alignment horizontal="center" vertical="center" wrapText="1"/>
    </xf>
    <xf numFmtId="1" fontId="29" fillId="9" borderId="7" xfId="2" applyNumberFormat="1" applyFont="1" applyFill="1" applyBorder="1" applyAlignment="1">
      <alignment horizontal="center" vertical="center" wrapText="1"/>
    </xf>
    <xf numFmtId="2" fontId="31" fillId="7" borderId="7" xfId="2" applyNumberFormat="1" applyFont="1" applyFill="1" applyBorder="1" applyAlignment="1">
      <alignment horizontal="center" vertical="center" wrapText="1"/>
    </xf>
    <xf numFmtId="2" fontId="29" fillId="7" borderId="7" xfId="0" applyNumberFormat="1" applyFont="1" applyFill="1" applyBorder="1" applyAlignment="1">
      <alignment horizontal="center" vertical="center"/>
    </xf>
    <xf numFmtId="0" fontId="11" fillId="2" borderId="50" xfId="0" applyFont="1" applyFill="1" applyBorder="1" applyAlignment="1">
      <alignment horizontal="left" vertical="center"/>
    </xf>
    <xf numFmtId="0" fontId="11" fillId="2" borderId="0" xfId="0" applyFont="1" applyFill="1" applyBorder="1" applyAlignment="1">
      <alignment vertical="center"/>
    </xf>
    <xf numFmtId="9" fontId="29" fillId="2" borderId="7" xfId="2" applyFont="1" applyFill="1" applyBorder="1" applyAlignment="1">
      <alignment horizontal="center" vertical="center" wrapText="1"/>
    </xf>
    <xf numFmtId="9" fontId="31" fillId="3" borderId="7" xfId="2" applyFont="1" applyFill="1" applyBorder="1" applyAlignment="1" applyProtection="1">
      <alignment horizontal="center" vertical="center"/>
    </xf>
    <xf numFmtId="164" fontId="29" fillId="2" borderId="7" xfId="2" applyNumberFormat="1" applyFont="1" applyFill="1" applyBorder="1" applyAlignment="1">
      <alignment horizontal="center" vertical="center" wrapText="1"/>
    </xf>
    <xf numFmtId="10" fontId="29" fillId="2" borderId="7" xfId="2" applyNumberFormat="1" applyFont="1" applyFill="1" applyBorder="1" applyAlignment="1">
      <alignment horizontal="center" vertical="center" wrapText="1"/>
    </xf>
    <xf numFmtId="9" fontId="34" fillId="18" borderId="7" xfId="2" applyFont="1" applyFill="1" applyBorder="1" applyAlignment="1">
      <alignment horizontal="center" vertical="center" wrapText="1"/>
    </xf>
    <xf numFmtId="0" fontId="4" fillId="9" borderId="26" xfId="0" applyFont="1" applyFill="1" applyBorder="1" applyAlignment="1">
      <alignment horizontal="center" vertical="center" wrapText="1"/>
    </xf>
    <xf numFmtId="9" fontId="29" fillId="3" borderId="7" xfId="2" applyFont="1" applyFill="1" applyBorder="1" applyAlignment="1">
      <alignment horizontal="center" vertical="center" wrapText="1"/>
    </xf>
    <xf numFmtId="9" fontId="31" fillId="2" borderId="7" xfId="2" applyFont="1" applyFill="1" applyBorder="1" applyAlignment="1">
      <alignment horizontal="center" vertical="center" wrapText="1"/>
    </xf>
    <xf numFmtId="0" fontId="28" fillId="27" borderId="7" xfId="3" applyFont="1" applyFill="1" applyBorder="1" applyAlignment="1">
      <alignment horizontal="center" vertical="center" wrapText="1"/>
    </xf>
    <xf numFmtId="9" fontId="29" fillId="28" borderId="7" xfId="2" applyFont="1" applyFill="1" applyBorder="1" applyAlignment="1">
      <alignment horizontal="center" vertical="center" wrapText="1"/>
    </xf>
    <xf numFmtId="164" fontId="29" fillId="28" borderId="7" xfId="2" applyNumberFormat="1" applyFont="1" applyFill="1" applyBorder="1" applyAlignment="1">
      <alignment horizontal="center" vertical="center" wrapText="1"/>
    </xf>
    <xf numFmtId="2" fontId="29" fillId="28" borderId="7" xfId="2" applyNumberFormat="1" applyFont="1" applyFill="1" applyBorder="1" applyAlignment="1">
      <alignment horizontal="center" vertical="center" wrapText="1"/>
    </xf>
    <xf numFmtId="1" fontId="29" fillId="28" borderId="7" xfId="2" applyNumberFormat="1" applyFont="1" applyFill="1" applyBorder="1" applyAlignment="1">
      <alignment horizontal="center" vertical="center" wrapText="1"/>
    </xf>
    <xf numFmtId="2" fontId="29" fillId="28" borderId="7" xfId="3" applyNumberFormat="1" applyFont="1" applyFill="1" applyBorder="1" applyAlignment="1">
      <alignment horizontal="center" vertical="center" wrapText="1"/>
    </xf>
    <xf numFmtId="164" fontId="29" fillId="28" borderId="12" xfId="2" applyNumberFormat="1" applyFont="1" applyFill="1" applyBorder="1" applyAlignment="1">
      <alignment horizontal="center" vertical="center" wrapText="1"/>
    </xf>
    <xf numFmtId="9" fontId="29" fillId="2" borderId="12" xfId="2" applyFont="1" applyFill="1" applyBorder="1" applyAlignment="1">
      <alignment horizontal="center" vertical="center" wrapText="1"/>
    </xf>
    <xf numFmtId="10" fontId="29" fillId="2" borderId="12" xfId="2" applyNumberFormat="1" applyFont="1" applyFill="1" applyBorder="1" applyAlignment="1">
      <alignment horizontal="center" vertical="center" wrapText="1"/>
    </xf>
    <xf numFmtId="9" fontId="31" fillId="3" borderId="12" xfId="2" applyFont="1" applyFill="1" applyBorder="1" applyAlignment="1" applyProtection="1">
      <alignment horizontal="center" vertical="center"/>
    </xf>
    <xf numFmtId="9" fontId="29" fillId="28" borderId="12" xfId="2" applyFont="1" applyFill="1" applyBorder="1" applyAlignment="1">
      <alignment horizontal="center" vertical="center" wrapText="1"/>
    </xf>
    <xf numFmtId="1" fontId="31" fillId="2" borderId="7" xfId="2" applyNumberFormat="1" applyFont="1" applyFill="1" applyBorder="1" applyAlignment="1">
      <alignment horizontal="center" vertical="center" wrapText="1"/>
    </xf>
    <xf numFmtId="1" fontId="31" fillId="2" borderId="7" xfId="0" applyNumberFormat="1" applyFont="1" applyFill="1" applyBorder="1" applyAlignment="1">
      <alignment horizontal="center" vertical="center" wrapText="1"/>
    </xf>
    <xf numFmtId="0" fontId="29" fillId="9" borderId="22" xfId="0" applyFont="1" applyFill="1" applyBorder="1" applyAlignment="1">
      <alignment horizontal="justify" vertical="center" wrapText="1"/>
    </xf>
    <xf numFmtId="0" fontId="31" fillId="9" borderId="24" xfId="0" applyFont="1" applyFill="1" applyBorder="1" applyAlignment="1" applyProtection="1">
      <alignment horizontal="justify" vertical="center" wrapText="1"/>
      <protection locked="0"/>
    </xf>
    <xf numFmtId="0" fontId="29" fillId="11" borderId="7" xfId="0" applyFont="1" applyFill="1" applyBorder="1" applyAlignment="1">
      <alignment horizontal="justify" vertical="center" wrapText="1"/>
    </xf>
    <xf numFmtId="0" fontId="29" fillId="8" borderId="7" xfId="0" applyFont="1" applyFill="1" applyBorder="1" applyAlignment="1">
      <alignment horizontal="justify" vertical="center" wrapText="1"/>
    </xf>
    <xf numFmtId="0" fontId="29" fillId="7" borderId="7" xfId="0" applyFont="1" applyFill="1" applyBorder="1" applyAlignment="1">
      <alignment horizontal="justify" vertical="center" wrapText="1"/>
    </xf>
    <xf numFmtId="0" fontId="31" fillId="13" borderId="22" xfId="0" applyFont="1" applyFill="1" applyBorder="1" applyAlignment="1" applyProtection="1">
      <alignment horizontal="justify" vertical="center" wrapText="1"/>
      <protection locked="0"/>
    </xf>
    <xf numFmtId="0" fontId="31" fillId="13" borderId="24" xfId="0" applyFont="1" applyFill="1" applyBorder="1" applyAlignment="1" applyProtection="1">
      <alignment horizontal="justify" vertical="center" wrapText="1"/>
      <protection locked="0"/>
    </xf>
    <xf numFmtId="165" fontId="31" fillId="3" borderId="7" xfId="1" applyNumberFormat="1" applyFont="1" applyFill="1" applyBorder="1" applyAlignment="1" applyProtection="1">
      <alignment horizontal="center" vertical="center"/>
    </xf>
    <xf numFmtId="0" fontId="38" fillId="0" borderId="0" xfId="0" applyFont="1" applyAlignment="1">
      <alignment vertical="center"/>
    </xf>
    <xf numFmtId="0" fontId="40" fillId="2" borderId="56" xfId="0" applyFont="1" applyFill="1" applyBorder="1" applyAlignment="1" applyProtection="1">
      <alignment horizontal="justify" vertical="center" wrapText="1"/>
      <protection locked="0"/>
    </xf>
    <xf numFmtId="0" fontId="37" fillId="2" borderId="56" xfId="0" applyFont="1" applyFill="1" applyBorder="1" applyAlignment="1">
      <alignment horizontal="justify" vertical="center" wrapText="1"/>
    </xf>
    <xf numFmtId="9" fontId="37" fillId="2" borderId="56" xfId="0" applyNumberFormat="1" applyFont="1" applyFill="1" applyBorder="1" applyAlignment="1">
      <alignment horizontal="center" vertical="center" wrapText="1"/>
    </xf>
    <xf numFmtId="0" fontId="31" fillId="13" borderId="6" xfId="0" applyFont="1" applyFill="1" applyBorder="1" applyAlignment="1" applyProtection="1">
      <alignment vertical="center" wrapText="1"/>
      <protection locked="0"/>
    </xf>
    <xf numFmtId="9" fontId="32" fillId="13" borderId="6" xfId="2" applyFont="1" applyFill="1" applyBorder="1" applyAlignment="1">
      <alignment horizontal="center" vertical="center" wrapText="1"/>
    </xf>
    <xf numFmtId="0" fontId="37" fillId="2" borderId="56" xfId="0" applyFont="1" applyFill="1" applyBorder="1" applyAlignment="1">
      <alignment horizontal="center" vertical="center" wrapText="1"/>
    </xf>
    <xf numFmtId="0" fontId="40" fillId="2" borderId="56" xfId="0" applyFont="1" applyFill="1" applyBorder="1" applyAlignment="1" applyProtection="1">
      <alignment horizontal="center" vertical="center" wrapText="1"/>
      <protection locked="0"/>
    </xf>
    <xf numFmtId="0" fontId="40" fillId="2" borderId="59" xfId="0" applyFont="1" applyFill="1" applyBorder="1" applyAlignment="1" applyProtection="1">
      <alignment horizontal="center" vertical="center" wrapText="1"/>
      <protection locked="0"/>
    </xf>
    <xf numFmtId="9" fontId="0" fillId="0" borderId="0" xfId="0" applyNumberFormat="1"/>
    <xf numFmtId="10" fontId="0" fillId="0" borderId="0" xfId="0" applyNumberFormat="1"/>
    <xf numFmtId="164" fontId="0" fillId="0" borderId="0" xfId="0" applyNumberFormat="1"/>
    <xf numFmtId="166" fontId="0" fillId="0" borderId="0" xfId="0" applyNumberFormat="1"/>
    <xf numFmtId="164" fontId="39" fillId="29" borderId="56" xfId="4" applyNumberFormat="1" applyFont="1" applyFill="1" applyBorder="1" applyAlignment="1">
      <alignment horizontal="center" vertical="center" wrapText="1"/>
    </xf>
    <xf numFmtId="164" fontId="39" fillId="29" borderId="58" xfId="4" applyNumberFormat="1" applyFont="1" applyFill="1" applyBorder="1" applyAlignment="1">
      <alignment horizontal="center" vertical="center" wrapText="1"/>
    </xf>
    <xf numFmtId="0" fontId="42" fillId="2" borderId="56" xfId="0" applyFont="1" applyFill="1" applyBorder="1" applyAlignment="1">
      <alignment horizontal="justify" vertical="center" wrapText="1"/>
    </xf>
    <xf numFmtId="9" fontId="42" fillId="2" borderId="56" xfId="0" applyNumberFormat="1" applyFont="1" applyFill="1" applyBorder="1" applyAlignment="1">
      <alignment horizontal="center" vertical="center"/>
    </xf>
    <xf numFmtId="0" fontId="43" fillId="2" borderId="56" xfId="0" applyFont="1" applyFill="1" applyBorder="1" applyAlignment="1" applyProtection="1">
      <alignment vertical="center" wrapText="1"/>
      <protection locked="0"/>
    </xf>
    <xf numFmtId="0" fontId="43" fillId="2" borderId="56" xfId="0" applyFont="1" applyFill="1" applyBorder="1" applyAlignment="1" applyProtection="1">
      <alignment horizontal="justify" vertical="center" wrapText="1"/>
      <protection locked="0"/>
    </xf>
    <xf numFmtId="9" fontId="42" fillId="2" borderId="56" xfId="2" applyFont="1" applyFill="1" applyBorder="1" applyAlignment="1">
      <alignment horizontal="center" vertical="center"/>
    </xf>
    <xf numFmtId="0" fontId="44" fillId="21" borderId="56" xfId="0" applyFont="1" applyFill="1" applyBorder="1" applyAlignment="1">
      <alignment horizontal="center" vertical="center" wrapText="1"/>
    </xf>
    <xf numFmtId="9" fontId="0" fillId="0" borderId="56" xfId="0" applyNumberFormat="1" applyBorder="1"/>
    <xf numFmtId="9" fontId="0" fillId="0" borderId="56" xfId="0" applyNumberFormat="1" applyBorder="1" applyAlignment="1">
      <alignment horizontal="center" vertical="center"/>
    </xf>
    <xf numFmtId="0" fontId="0" fillId="0" borderId="56" xfId="0" applyBorder="1"/>
    <xf numFmtId="9" fontId="0" fillId="0" borderId="0" xfId="2" applyFont="1"/>
    <xf numFmtId="9" fontId="51" fillId="17" borderId="0" xfId="2" applyFont="1" applyFill="1"/>
    <xf numFmtId="9" fontId="0" fillId="17" borderId="0" xfId="2" applyFont="1" applyFill="1"/>
    <xf numFmtId="0" fontId="0" fillId="0" borderId="0" xfId="0" applyAlignment="1"/>
    <xf numFmtId="0" fontId="0" fillId="0" borderId="0" xfId="0" applyAlignment="1">
      <alignment wrapText="1"/>
    </xf>
    <xf numFmtId="0" fontId="0" fillId="0" borderId="0" xfId="0" applyBorder="1" applyAlignment="1">
      <alignment horizontal="center"/>
    </xf>
    <xf numFmtId="0" fontId="41" fillId="7" borderId="56" xfId="0" applyFont="1" applyFill="1" applyBorder="1" applyAlignment="1">
      <alignment horizontal="center" vertical="center"/>
    </xf>
    <xf numFmtId="0" fontId="41" fillId="7" borderId="56" xfId="0" applyFont="1" applyFill="1" applyBorder="1" applyAlignment="1">
      <alignment horizontal="center" vertical="center" wrapText="1"/>
    </xf>
    <xf numFmtId="9" fontId="40" fillId="2" borderId="57" xfId="0" applyNumberFormat="1" applyFont="1" applyFill="1" applyBorder="1" applyAlignment="1" applyProtection="1">
      <alignment horizontal="center" vertical="center" wrapText="1"/>
      <protection locked="0"/>
    </xf>
    <xf numFmtId="0" fontId="0" fillId="0" borderId="50" xfId="0" applyBorder="1" applyAlignment="1"/>
    <xf numFmtId="0" fontId="0" fillId="0" borderId="56" xfId="0" applyBorder="1" applyAlignment="1">
      <alignment horizontal="center"/>
    </xf>
    <xf numFmtId="9" fontId="0" fillId="0" borderId="56" xfId="2" applyFont="1" applyBorder="1" applyAlignment="1">
      <alignment horizontal="center" vertical="center"/>
    </xf>
    <xf numFmtId="0" fontId="38" fillId="0" borderId="56" xfId="0" applyFont="1" applyBorder="1" applyAlignment="1">
      <alignment wrapText="1"/>
    </xf>
    <xf numFmtId="0" fontId="0" fillId="0" borderId="56" xfId="0" applyBorder="1" applyAlignment="1">
      <alignment wrapText="1"/>
    </xf>
    <xf numFmtId="0" fontId="0" fillId="0" borderId="56" xfId="0" applyBorder="1" applyAlignment="1">
      <alignment horizontal="center" vertical="center"/>
    </xf>
    <xf numFmtId="1" fontId="29" fillId="11" borderId="56" xfId="2" applyNumberFormat="1" applyFont="1" applyFill="1" applyBorder="1" applyAlignment="1">
      <alignment horizontal="center" vertical="center" wrapText="1"/>
    </xf>
    <xf numFmtId="1" fontId="0" fillId="0" borderId="56" xfId="2" applyNumberFormat="1" applyFont="1" applyBorder="1" applyAlignment="1">
      <alignment horizontal="center" vertical="center"/>
    </xf>
    <xf numFmtId="0" fontId="38" fillId="0" borderId="56" xfId="0" applyFont="1" applyBorder="1"/>
    <xf numFmtId="1" fontId="0" fillId="0" borderId="56" xfId="2" applyNumberFormat="1" applyFont="1" applyBorder="1" applyAlignment="1">
      <alignment horizontal="center"/>
    </xf>
    <xf numFmtId="0" fontId="0" fillId="0" borderId="56" xfId="0" applyFill="1" applyBorder="1" applyAlignment="1">
      <alignment horizontal="center" vertical="center"/>
    </xf>
    <xf numFmtId="9" fontId="0" fillId="0" borderId="56" xfId="0" applyNumberFormat="1" applyBorder="1" applyAlignment="1">
      <alignment horizontal="center"/>
    </xf>
    <xf numFmtId="9" fontId="0" fillId="0" borderId="56" xfId="0" applyNumberFormat="1" applyBorder="1" applyAlignment="1">
      <alignment horizontal="center" vertical="center" wrapText="1"/>
    </xf>
    <xf numFmtId="0" fontId="0" fillId="0" borderId="56" xfId="0" applyBorder="1" applyAlignment="1">
      <alignment vertical="center"/>
    </xf>
    <xf numFmtId="0" fontId="50" fillId="0" borderId="56" xfId="0" applyFont="1" applyBorder="1" applyAlignment="1">
      <alignment horizontal="center" vertical="center" wrapText="1"/>
    </xf>
    <xf numFmtId="0" fontId="50" fillId="0" borderId="56" xfId="0" applyFont="1" applyBorder="1" applyAlignment="1">
      <alignment horizontal="center" vertical="center"/>
    </xf>
    <xf numFmtId="0" fontId="50" fillId="0" borderId="56" xfId="0" applyFont="1" applyBorder="1" applyAlignment="1">
      <alignment vertical="center"/>
    </xf>
    <xf numFmtId="0" fontId="50" fillId="0" borderId="0" xfId="0" applyFont="1" applyBorder="1" applyAlignment="1">
      <alignment vertical="center"/>
    </xf>
    <xf numFmtId="9" fontId="0" fillId="0" borderId="0" xfId="0" applyNumberFormat="1" applyBorder="1" applyAlignment="1">
      <alignment horizontal="center" vertical="center"/>
    </xf>
    <xf numFmtId="9" fontId="0" fillId="0" borderId="0" xfId="2" applyFont="1" applyBorder="1" applyAlignment="1">
      <alignment horizontal="center" vertical="center"/>
    </xf>
    <xf numFmtId="9" fontId="0" fillId="0" borderId="0" xfId="0" applyNumberFormat="1" applyBorder="1" applyAlignment="1">
      <alignment horizontal="center"/>
    </xf>
    <xf numFmtId="9" fontId="0" fillId="0" borderId="0" xfId="0" applyNumberFormat="1" applyBorder="1" applyAlignment="1">
      <alignment horizontal="center" vertical="center" wrapText="1"/>
    </xf>
    <xf numFmtId="0" fontId="50" fillId="0" borderId="0" xfId="0" applyFont="1" applyBorder="1" applyAlignment="1">
      <alignment vertical="center" wrapText="1"/>
    </xf>
    <xf numFmtId="0" fontId="0" fillId="0" borderId="57" xfId="0" applyBorder="1" applyAlignment="1">
      <alignment wrapText="1"/>
    </xf>
    <xf numFmtId="0" fontId="0" fillId="0" borderId="0" xfId="0" applyBorder="1"/>
    <xf numFmtId="0" fontId="0" fillId="0" borderId="0" xfId="0" applyBorder="1" applyAlignment="1">
      <alignment wrapText="1"/>
    </xf>
    <xf numFmtId="0" fontId="0" fillId="0" borderId="58" xfId="0" applyBorder="1" applyAlignment="1"/>
    <xf numFmtId="0" fontId="0" fillId="0" borderId="59" xfId="0" applyBorder="1" applyAlignment="1"/>
    <xf numFmtId="0" fontId="37" fillId="9" borderId="56" xfId="0" applyFont="1" applyFill="1" applyBorder="1" applyAlignment="1">
      <alignment horizontal="left" vertical="center" wrapText="1"/>
    </xf>
    <xf numFmtId="0" fontId="37" fillId="9" borderId="56" xfId="0" applyFont="1" applyFill="1" applyBorder="1" applyAlignment="1">
      <alignment horizontal="center" vertical="center" wrapText="1"/>
    </xf>
    <xf numFmtId="9" fontId="37" fillId="9" borderId="56" xfId="0" applyNumberFormat="1" applyFont="1" applyFill="1" applyBorder="1" applyAlignment="1">
      <alignment horizontal="center" vertical="center" wrapText="1"/>
    </xf>
    <xf numFmtId="0" fontId="37" fillId="9" borderId="56" xfId="0" applyFont="1" applyFill="1" applyBorder="1" applyAlignment="1">
      <alignment horizontal="justify" vertical="center" wrapText="1"/>
    </xf>
    <xf numFmtId="0" fontId="0" fillId="9" borderId="56" xfId="0" applyFill="1" applyBorder="1" applyAlignment="1">
      <alignment horizontal="center" vertical="center"/>
    </xf>
    <xf numFmtId="9" fontId="0" fillId="9" borderId="56" xfId="2" applyFont="1" applyFill="1" applyBorder="1" applyAlignment="1">
      <alignment horizontal="center" vertical="center"/>
    </xf>
    <xf numFmtId="0" fontId="40" fillId="9" borderId="57" xfId="0" applyFont="1" applyFill="1" applyBorder="1" applyAlignment="1" applyProtection="1">
      <alignment horizontal="left" vertical="center" wrapText="1"/>
      <protection locked="0"/>
    </xf>
    <xf numFmtId="0" fontId="40" fillId="9" borderId="57" xfId="0" applyFont="1" applyFill="1" applyBorder="1" applyAlignment="1" applyProtection="1">
      <alignment horizontal="center" vertical="center" wrapText="1"/>
      <protection locked="0"/>
    </xf>
    <xf numFmtId="9" fontId="40" fillId="9" borderId="57" xfId="0" applyNumberFormat="1" applyFont="1" applyFill="1" applyBorder="1" applyAlignment="1" applyProtection="1">
      <alignment horizontal="center" vertical="center" wrapText="1"/>
      <protection locked="0"/>
    </xf>
    <xf numFmtId="9" fontId="0" fillId="9" borderId="56" xfId="0" applyNumberFormat="1" applyFill="1" applyBorder="1" applyAlignment="1">
      <alignment horizontal="center" vertical="center"/>
    </xf>
    <xf numFmtId="0" fontId="40" fillId="9" borderId="56" xfId="0" applyFont="1" applyFill="1" applyBorder="1" applyAlignment="1" applyProtection="1">
      <alignment horizontal="center" vertical="center" wrapText="1"/>
      <protection locked="0"/>
    </xf>
    <xf numFmtId="0" fontId="40" fillId="9" borderId="56" xfId="0" applyFont="1" applyFill="1" applyBorder="1" applyAlignment="1" applyProtection="1">
      <alignment horizontal="justify" vertical="center" wrapText="1"/>
      <protection locked="0"/>
    </xf>
    <xf numFmtId="0" fontId="56" fillId="0" borderId="68" xfId="0" applyFont="1" applyBorder="1" applyAlignment="1">
      <alignment horizontal="center" vertical="center" wrapText="1" readingOrder="1"/>
    </xf>
    <xf numFmtId="9" fontId="56" fillId="0" borderId="68" xfId="0" applyNumberFormat="1" applyFont="1" applyBorder="1" applyAlignment="1">
      <alignment horizontal="center" vertical="center" wrapText="1" readingOrder="1"/>
    </xf>
    <xf numFmtId="0" fontId="40" fillId="2" borderId="57" xfId="0" applyFont="1" applyFill="1" applyBorder="1" applyAlignment="1" applyProtection="1">
      <alignment horizontal="left" vertical="center" wrapText="1"/>
      <protection locked="0"/>
    </xf>
    <xf numFmtId="0" fontId="29" fillId="11" borderId="7" xfId="0" applyFont="1" applyFill="1" applyBorder="1" applyAlignment="1">
      <alignment horizontal="center" vertical="center" wrapText="1"/>
    </xf>
    <xf numFmtId="0" fontId="29" fillId="8" borderId="7" xfId="0" applyFont="1" applyFill="1" applyBorder="1" applyAlignment="1">
      <alignment horizontal="center" vertical="center" wrapText="1"/>
    </xf>
    <xf numFmtId="0" fontId="31" fillId="24" borderId="11" xfId="0" applyFont="1" applyFill="1" applyBorder="1" applyAlignment="1" applyProtection="1">
      <alignment horizontal="justify" vertical="center" wrapText="1"/>
      <protection locked="0"/>
    </xf>
    <xf numFmtId="0" fontId="31" fillId="24" borderId="12" xfId="0" applyFont="1" applyFill="1" applyBorder="1" applyAlignment="1" applyProtection="1">
      <alignment horizontal="justify" vertical="center" wrapText="1"/>
      <protection locked="0"/>
    </xf>
    <xf numFmtId="9" fontId="57" fillId="24" borderId="24" xfId="2" applyFont="1" applyFill="1" applyBorder="1" applyAlignment="1" applyProtection="1">
      <alignment horizontal="center" vertical="center" wrapText="1"/>
      <protection locked="0"/>
    </xf>
    <xf numFmtId="0" fontId="29" fillId="24" borderId="12" xfId="0" applyFont="1" applyFill="1" applyBorder="1" applyAlignment="1">
      <alignment horizontal="justify" vertical="center" wrapText="1"/>
    </xf>
    <xf numFmtId="1" fontId="29" fillId="24" borderId="12" xfId="2" applyNumberFormat="1" applyFont="1" applyFill="1" applyBorder="1" applyAlignment="1">
      <alignment horizontal="center" vertical="center" wrapText="1"/>
    </xf>
    <xf numFmtId="0" fontId="31" fillId="31" borderId="7" xfId="0" applyFont="1" applyFill="1" applyBorder="1" applyAlignment="1" applyProtection="1">
      <alignment horizontal="justify" vertical="center" wrapText="1"/>
      <protection locked="0"/>
    </xf>
    <xf numFmtId="0" fontId="29" fillId="31" borderId="7" xfId="0" applyFont="1" applyFill="1" applyBorder="1" applyAlignment="1">
      <alignment horizontal="justify" vertical="center" wrapText="1"/>
    </xf>
    <xf numFmtId="0" fontId="58" fillId="30" borderId="69" xfId="0" applyFont="1" applyFill="1" applyBorder="1" applyAlignment="1">
      <alignment horizontal="center" vertical="center" wrapText="1" readingOrder="1"/>
    </xf>
    <xf numFmtId="9" fontId="58" fillId="30" borderId="70" xfId="0" applyNumberFormat="1" applyFont="1" applyFill="1" applyBorder="1" applyAlignment="1">
      <alignment horizontal="center" vertical="center" wrapText="1" readingOrder="1"/>
    </xf>
    <xf numFmtId="9" fontId="29" fillId="11" borderId="7" xfId="0" applyNumberFormat="1" applyFont="1" applyFill="1" applyBorder="1" applyAlignment="1">
      <alignment horizontal="center" vertical="center" wrapText="1"/>
    </xf>
    <xf numFmtId="9" fontId="29" fillId="11" borderId="7" xfId="2" applyFont="1" applyFill="1" applyBorder="1" applyAlignment="1">
      <alignment horizontal="center" vertical="center" wrapText="1"/>
    </xf>
    <xf numFmtId="9" fontId="29" fillId="31" borderId="7" xfId="2" applyFont="1" applyFill="1" applyBorder="1" applyAlignment="1">
      <alignment horizontal="center" vertical="center" wrapText="1"/>
    </xf>
    <xf numFmtId="9" fontId="29" fillId="9" borderId="7" xfId="2" applyFont="1" applyFill="1" applyBorder="1" applyAlignment="1">
      <alignment horizontal="center" vertical="center" wrapText="1"/>
    </xf>
    <xf numFmtId="9" fontId="29" fillId="7" borderId="7" xfId="2" applyFont="1" applyFill="1" applyBorder="1" applyAlignment="1">
      <alignment horizontal="center" vertical="center" wrapText="1"/>
    </xf>
    <xf numFmtId="9" fontId="29" fillId="8" borderId="7" xfId="2" applyFont="1" applyFill="1" applyBorder="1" applyAlignment="1">
      <alignment horizontal="center" vertical="center" wrapText="1"/>
    </xf>
    <xf numFmtId="9" fontId="29" fillId="24" borderId="12" xfId="2" applyFont="1" applyFill="1" applyBorder="1" applyAlignment="1">
      <alignment horizontal="center" vertical="center" wrapText="1"/>
    </xf>
    <xf numFmtId="0" fontId="59" fillId="31" borderId="10" xfId="0" applyFont="1" applyFill="1" applyBorder="1" applyAlignment="1" applyProtection="1">
      <alignment horizontal="justify" vertical="center" wrapText="1"/>
      <protection locked="0"/>
    </xf>
    <xf numFmtId="0" fontId="11" fillId="2" borderId="71" xfId="0" applyFont="1" applyFill="1" applyBorder="1" applyAlignment="1">
      <alignment vertical="center"/>
    </xf>
    <xf numFmtId="0" fontId="35" fillId="0" borderId="56" xfId="0" applyFont="1" applyFill="1" applyBorder="1" applyAlignment="1">
      <alignment vertical="center" wrapText="1"/>
    </xf>
    <xf numFmtId="0" fontId="29" fillId="9" borderId="25" xfId="0" applyFont="1" applyFill="1" applyBorder="1" applyAlignment="1">
      <alignment horizontal="justify" vertical="center" wrapText="1"/>
    </xf>
    <xf numFmtId="9" fontId="29" fillId="9" borderId="25" xfId="0" applyNumberFormat="1" applyFont="1" applyFill="1" applyBorder="1" applyAlignment="1">
      <alignment horizontal="justify" vertical="center" wrapText="1"/>
    </xf>
    <xf numFmtId="9" fontId="29" fillId="9" borderId="25" xfId="0" applyNumberFormat="1" applyFont="1" applyFill="1" applyBorder="1" applyAlignment="1">
      <alignment horizontal="center" vertical="center" wrapText="1"/>
    </xf>
    <xf numFmtId="9" fontId="29" fillId="11" borderId="7" xfId="0" applyNumberFormat="1" applyFont="1" applyFill="1" applyBorder="1" applyAlignment="1">
      <alignment horizontal="justify" vertical="center" wrapText="1"/>
    </xf>
    <xf numFmtId="9" fontId="29" fillId="7" borderId="7" xfId="0" applyNumberFormat="1" applyFont="1" applyFill="1" applyBorder="1" applyAlignment="1">
      <alignment horizontal="justify" vertical="center" wrapText="1"/>
    </xf>
    <xf numFmtId="9" fontId="29" fillId="7" borderId="7" xfId="0" applyNumberFormat="1" applyFont="1" applyFill="1" applyBorder="1" applyAlignment="1">
      <alignment horizontal="center" vertical="center" wrapText="1"/>
    </xf>
    <xf numFmtId="9" fontId="32" fillId="13" borderId="73" xfId="2" applyFont="1" applyFill="1" applyBorder="1" applyAlignment="1">
      <alignment horizontal="left" vertical="center" wrapText="1"/>
    </xf>
    <xf numFmtId="0" fontId="3" fillId="2" borderId="74" xfId="0" applyFont="1" applyFill="1" applyBorder="1" applyAlignment="1">
      <alignment vertical="center" wrapText="1"/>
    </xf>
    <xf numFmtId="0" fontId="4" fillId="12" borderId="24" xfId="0" applyFont="1" applyFill="1" applyBorder="1" applyAlignment="1">
      <alignment horizontal="center" vertical="center"/>
    </xf>
    <xf numFmtId="0" fontId="29" fillId="8" borderId="24" xfId="0" applyFont="1" applyFill="1" applyBorder="1" applyAlignment="1">
      <alignment horizontal="center" vertical="center" wrapText="1"/>
    </xf>
    <xf numFmtId="0" fontId="29" fillId="8" borderId="24" xfId="0" applyFont="1" applyFill="1" applyBorder="1" applyAlignment="1">
      <alignment horizontal="justify" vertical="center" wrapText="1"/>
    </xf>
    <xf numFmtId="0" fontId="29" fillId="14" borderId="24" xfId="0" applyFont="1" applyFill="1" applyBorder="1" applyAlignment="1">
      <alignment vertical="center" wrapText="1"/>
    </xf>
    <xf numFmtId="1" fontId="29" fillId="12" borderId="24" xfId="0" applyNumberFormat="1" applyFont="1" applyFill="1" applyBorder="1" applyAlignment="1">
      <alignment horizontal="center" vertical="center"/>
    </xf>
    <xf numFmtId="0" fontId="29" fillId="2" borderId="24" xfId="0" applyFont="1" applyFill="1" applyBorder="1" applyAlignment="1">
      <alignment horizontal="center" vertical="center" wrapText="1"/>
    </xf>
    <xf numFmtId="2" fontId="31" fillId="3" borderId="24" xfId="1" applyNumberFormat="1" applyFont="1" applyFill="1" applyBorder="1" applyAlignment="1" applyProtection="1">
      <alignment horizontal="center" vertical="center"/>
    </xf>
    <xf numFmtId="0" fontId="29" fillId="2" borderId="24" xfId="0" applyFont="1" applyFill="1" applyBorder="1" applyAlignment="1">
      <alignment horizontal="center" vertical="center"/>
    </xf>
    <xf numFmtId="2" fontId="29" fillId="28" borderId="24" xfId="3" applyNumberFormat="1" applyFont="1" applyFill="1" applyBorder="1" applyAlignment="1">
      <alignment horizontal="center" vertical="center" wrapText="1"/>
    </xf>
    <xf numFmtId="164" fontId="29" fillId="28" borderId="24" xfId="2" applyNumberFormat="1" applyFont="1" applyFill="1" applyBorder="1" applyAlignment="1">
      <alignment horizontal="center" vertical="center" wrapText="1"/>
    </xf>
    <xf numFmtId="9" fontId="34" fillId="18" borderId="24" xfId="2" applyFont="1" applyFill="1" applyBorder="1" applyAlignment="1">
      <alignment horizontal="center" vertical="center" wrapText="1"/>
    </xf>
    <xf numFmtId="0" fontId="29" fillId="2" borderId="47" xfId="0" applyFont="1" applyFill="1" applyBorder="1" applyAlignment="1">
      <alignment horizontal="justify" vertical="center" wrapText="1"/>
    </xf>
    <xf numFmtId="0" fontId="29" fillId="31" borderId="25" xfId="0" applyFont="1" applyFill="1" applyBorder="1" applyAlignment="1">
      <alignment horizontal="justify" vertical="center" wrapText="1"/>
    </xf>
    <xf numFmtId="0" fontId="31" fillId="2" borderId="25" xfId="4" applyFont="1" applyFill="1" applyBorder="1" applyAlignment="1" applyProtection="1">
      <alignment vertical="center" wrapText="1"/>
      <protection locked="0"/>
    </xf>
    <xf numFmtId="0" fontId="31" fillId="2" borderId="25" xfId="4" applyFont="1" applyFill="1" applyBorder="1" applyAlignment="1" applyProtection="1">
      <alignment horizontal="left" vertical="center" wrapText="1"/>
      <protection locked="0"/>
    </xf>
    <xf numFmtId="2" fontId="29" fillId="31" borderId="25" xfId="0" applyNumberFormat="1" applyFont="1" applyFill="1" applyBorder="1" applyAlignment="1">
      <alignment horizontal="center" vertical="center"/>
    </xf>
    <xf numFmtId="1" fontId="29" fillId="2" borderId="25" xfId="2" applyNumberFormat="1" applyFont="1" applyFill="1" applyBorder="1" applyAlignment="1">
      <alignment horizontal="center" vertical="center" wrapText="1"/>
    </xf>
    <xf numFmtId="1" fontId="31" fillId="3" borderId="25" xfId="1" applyNumberFormat="1" applyFont="1" applyFill="1" applyBorder="1" applyAlignment="1" applyProtection="1">
      <alignment horizontal="center" vertical="center"/>
    </xf>
    <xf numFmtId="9" fontId="29" fillId="2" borderId="25" xfId="2" applyFont="1" applyFill="1" applyBorder="1" applyAlignment="1">
      <alignment horizontal="center" vertical="center" wrapText="1"/>
    </xf>
    <xf numFmtId="9" fontId="31" fillId="3" borderId="25" xfId="2" applyFont="1" applyFill="1" applyBorder="1" applyAlignment="1" applyProtection="1">
      <alignment horizontal="center" vertical="center"/>
    </xf>
    <xf numFmtId="9" fontId="29" fillId="0" borderId="25" xfId="2" applyFont="1" applyFill="1" applyBorder="1" applyAlignment="1">
      <alignment horizontal="center" vertical="center" wrapText="1"/>
    </xf>
    <xf numFmtId="0" fontId="29" fillId="2" borderId="25" xfId="0" applyFont="1" applyFill="1" applyBorder="1" applyAlignment="1">
      <alignment horizontal="center" vertical="center"/>
    </xf>
    <xf numFmtId="9" fontId="29" fillId="28" borderId="25" xfId="2" applyFont="1" applyFill="1" applyBorder="1" applyAlignment="1">
      <alignment horizontal="center" vertical="center" wrapText="1"/>
    </xf>
    <xf numFmtId="164" fontId="29" fillId="28" borderId="25" xfId="2" applyNumberFormat="1" applyFont="1" applyFill="1" applyBorder="1" applyAlignment="1">
      <alignment horizontal="center" vertical="center" wrapText="1"/>
    </xf>
    <xf numFmtId="9" fontId="34" fillId="18" borderId="25" xfId="2" applyFont="1" applyFill="1" applyBorder="1" applyAlignment="1">
      <alignment horizontal="center" vertical="center" wrapText="1"/>
    </xf>
    <xf numFmtId="0" fontId="29" fillId="2" borderId="19" xfId="0" applyFont="1" applyFill="1" applyBorder="1" applyAlignment="1">
      <alignment horizontal="justify" vertical="center" wrapText="1"/>
    </xf>
    <xf numFmtId="9" fontId="57" fillId="15" borderId="39" xfId="2" applyFont="1" applyFill="1" applyBorder="1" applyAlignment="1" applyProtection="1">
      <alignment horizontal="center" vertical="center" wrapText="1"/>
      <protection locked="0"/>
    </xf>
    <xf numFmtId="9" fontId="32" fillId="13" borderId="56" xfId="2" applyFont="1" applyFill="1" applyBorder="1" applyAlignment="1">
      <alignment horizontal="left" vertical="center" wrapText="1"/>
    </xf>
    <xf numFmtId="0" fontId="47" fillId="2" borderId="56" xfId="4" applyFont="1" applyFill="1" applyBorder="1" applyAlignment="1" applyProtection="1">
      <alignment vertical="center" wrapText="1"/>
      <protection locked="0"/>
    </xf>
    <xf numFmtId="0" fontId="31" fillId="2" borderId="56" xfId="4" applyFont="1" applyFill="1" applyBorder="1" applyAlignment="1" applyProtection="1">
      <alignment horizontal="left" vertical="center" wrapText="1"/>
      <protection locked="0"/>
    </xf>
    <xf numFmtId="0" fontId="32" fillId="13" borderId="56" xfId="0" applyFont="1" applyFill="1" applyBorder="1" applyAlignment="1">
      <alignment horizontal="center" vertical="center"/>
    </xf>
    <xf numFmtId="1" fontId="29" fillId="2" borderId="56" xfId="2" applyNumberFormat="1" applyFont="1" applyFill="1" applyBorder="1" applyAlignment="1">
      <alignment horizontal="center" vertical="center" wrapText="1"/>
    </xf>
    <xf numFmtId="1" fontId="4" fillId="26" borderId="56" xfId="0" applyNumberFormat="1" applyFont="1" applyFill="1" applyBorder="1" applyAlignment="1">
      <alignment horizontal="center" vertical="center"/>
    </xf>
    <xf numFmtId="2" fontId="31" fillId="3" borderId="56" xfId="2" applyNumberFormat="1" applyFont="1" applyFill="1" applyBorder="1" applyAlignment="1" applyProtection="1">
      <alignment horizontal="center" vertical="center"/>
    </xf>
    <xf numFmtId="2" fontId="29" fillId="28" borderId="56" xfId="2" applyNumberFormat="1" applyFont="1" applyFill="1" applyBorder="1" applyAlignment="1">
      <alignment horizontal="center" vertical="center" wrapText="1"/>
    </xf>
    <xf numFmtId="164" fontId="29" fillId="28" borderId="56" xfId="2" applyNumberFormat="1" applyFont="1" applyFill="1" applyBorder="1" applyAlignment="1">
      <alignment horizontal="center" vertical="center" wrapText="1"/>
    </xf>
    <xf numFmtId="9" fontId="29" fillId="28" borderId="56" xfId="2" applyFont="1" applyFill="1" applyBorder="1" applyAlignment="1">
      <alignment horizontal="center" vertical="center" wrapText="1"/>
    </xf>
    <xf numFmtId="9" fontId="34" fillId="18" borderId="56" xfId="2" applyFont="1" applyFill="1" applyBorder="1" applyAlignment="1">
      <alignment horizontal="center" vertical="center" wrapText="1"/>
    </xf>
    <xf numFmtId="0" fontId="29" fillId="2" borderId="56" xfId="0" applyFont="1" applyFill="1" applyBorder="1" applyAlignment="1">
      <alignment horizontal="justify" vertical="center" wrapText="1"/>
    </xf>
    <xf numFmtId="9" fontId="55" fillId="13" borderId="56" xfId="2" applyFont="1" applyFill="1" applyBorder="1" applyAlignment="1" applyProtection="1">
      <alignment horizontal="center" vertical="center" wrapText="1"/>
      <protection locked="0"/>
    </xf>
    <xf numFmtId="1" fontId="32" fillId="13" borderId="56" xfId="2" applyNumberFormat="1" applyFont="1" applyFill="1" applyBorder="1" applyAlignment="1">
      <alignment horizontal="center" vertical="center" wrapText="1"/>
    </xf>
    <xf numFmtId="9" fontId="29" fillId="31" borderId="25" xfId="2" applyFont="1" applyFill="1" applyBorder="1" applyAlignment="1">
      <alignment horizontal="center" vertical="center" wrapText="1"/>
    </xf>
    <xf numFmtId="9" fontId="29" fillId="31" borderId="25" xfId="0" applyNumberFormat="1" applyFont="1" applyFill="1" applyBorder="1" applyAlignment="1">
      <alignment horizontal="justify" vertical="center" wrapText="1"/>
    </xf>
    <xf numFmtId="9" fontId="29" fillId="31" borderId="25" xfId="0" applyNumberFormat="1" applyFont="1" applyFill="1" applyBorder="1" applyAlignment="1">
      <alignment horizontal="center" vertical="center" wrapText="1"/>
    </xf>
    <xf numFmtId="0" fontId="62" fillId="2" borderId="56" xfId="0" applyFont="1" applyFill="1" applyBorder="1" applyAlignment="1">
      <alignment horizontal="left" vertical="center"/>
    </xf>
    <xf numFmtId="0" fontId="65" fillId="32" borderId="56" xfId="3" applyFont="1" applyFill="1" applyBorder="1" applyAlignment="1">
      <alignment horizontal="center" vertical="center" wrapText="1"/>
    </xf>
    <xf numFmtId="0" fontId="65" fillId="21" borderId="56" xfId="3" applyFont="1" applyFill="1" applyBorder="1" applyAlignment="1">
      <alignment horizontal="center" vertical="center" wrapText="1"/>
    </xf>
    <xf numFmtId="0" fontId="65" fillId="32" borderId="56" xfId="0" applyFont="1" applyFill="1" applyBorder="1" applyAlignment="1">
      <alignment horizontal="center" vertical="center" wrapText="1"/>
    </xf>
    <xf numFmtId="0" fontId="65" fillId="34" borderId="56" xfId="3" applyFont="1" applyFill="1" applyBorder="1" applyAlignment="1">
      <alignment horizontal="center" vertical="center" wrapText="1"/>
    </xf>
    <xf numFmtId="0" fontId="65" fillId="33" borderId="56" xfId="3" applyFont="1" applyFill="1" applyBorder="1" applyAlignment="1">
      <alignment horizontal="center" vertical="center" wrapText="1"/>
    </xf>
    <xf numFmtId="0" fontId="65" fillId="32" borderId="56" xfId="0" applyFont="1" applyFill="1" applyBorder="1" applyAlignment="1">
      <alignment horizontal="center" vertical="center"/>
    </xf>
    <xf numFmtId="9" fontId="64" fillId="2" borderId="56" xfId="2" applyFont="1" applyFill="1" applyBorder="1" applyAlignment="1">
      <alignment horizontal="center" vertical="center" wrapText="1"/>
    </xf>
    <xf numFmtId="0" fontId="66" fillId="2" borderId="56" xfId="4" applyFont="1" applyFill="1" applyBorder="1" applyAlignment="1" applyProtection="1">
      <alignment horizontal="left" vertical="center" wrapText="1"/>
      <protection locked="0"/>
    </xf>
    <xf numFmtId="0" fontId="64" fillId="2" borderId="56" xfId="0" applyFont="1" applyFill="1" applyBorder="1" applyAlignment="1">
      <alignment horizontal="left" vertical="center" wrapText="1"/>
    </xf>
    <xf numFmtId="0" fontId="64" fillId="2" borderId="56" xfId="0" applyFont="1" applyFill="1" applyBorder="1" applyAlignment="1">
      <alignment horizontal="center" vertical="center" wrapText="1"/>
    </xf>
    <xf numFmtId="9" fontId="65" fillId="2" borderId="56" xfId="3" applyNumberFormat="1" applyFont="1" applyFill="1" applyBorder="1" applyAlignment="1">
      <alignment horizontal="center" vertical="center" wrapText="1"/>
    </xf>
    <xf numFmtId="0" fontId="65" fillId="2" borderId="56" xfId="3" applyFont="1" applyFill="1" applyBorder="1" applyAlignment="1">
      <alignment horizontal="center" vertical="center" wrapText="1"/>
    </xf>
    <xf numFmtId="9" fontId="64" fillId="2" borderId="56" xfId="2" applyNumberFormat="1" applyFont="1" applyFill="1" applyBorder="1" applyAlignment="1">
      <alignment horizontal="center" vertical="center" wrapText="1"/>
    </xf>
    <xf numFmtId="9" fontId="66" fillId="21" borderId="56" xfId="2" applyFont="1" applyFill="1" applyBorder="1" applyAlignment="1" applyProtection="1">
      <alignment horizontal="center" vertical="center"/>
    </xf>
    <xf numFmtId="10" fontId="64" fillId="2" borderId="56" xfId="2" applyNumberFormat="1" applyFont="1" applyFill="1" applyBorder="1" applyAlignment="1">
      <alignment horizontal="center" vertical="center" wrapText="1"/>
    </xf>
    <xf numFmtId="0" fontId="66" fillId="2" borderId="56" xfId="0" applyFont="1" applyFill="1" applyBorder="1" applyAlignment="1">
      <alignment horizontal="center" vertical="center" wrapText="1"/>
    </xf>
    <xf numFmtId="9" fontId="64" fillId="21" borderId="56" xfId="2" applyFont="1" applyFill="1" applyBorder="1" applyAlignment="1">
      <alignment horizontal="center" vertical="center" wrapText="1"/>
    </xf>
    <xf numFmtId="164" fontId="64" fillId="28" borderId="56" xfId="2" applyNumberFormat="1" applyFont="1" applyFill="1" applyBorder="1" applyAlignment="1">
      <alignment horizontal="center" vertical="center" wrapText="1"/>
    </xf>
    <xf numFmtId="9" fontId="67" fillId="2" borderId="56" xfId="2" applyFont="1" applyFill="1" applyBorder="1" applyAlignment="1">
      <alignment horizontal="center" vertical="center" wrapText="1"/>
    </xf>
    <xf numFmtId="0" fontId="65" fillId="2" borderId="56" xfId="0" applyFont="1" applyFill="1" applyBorder="1" applyAlignment="1">
      <alignment horizontal="center" vertical="center" wrapText="1"/>
    </xf>
    <xf numFmtId="9" fontId="66" fillId="2" borderId="56" xfId="2" applyFont="1" applyFill="1" applyBorder="1" applyAlignment="1" applyProtection="1">
      <alignment horizontal="center" vertical="center" wrapText="1"/>
      <protection locked="0"/>
    </xf>
    <xf numFmtId="164" fontId="64" fillId="2" borderId="56" xfId="2" applyNumberFormat="1" applyFont="1" applyFill="1" applyBorder="1" applyAlignment="1">
      <alignment horizontal="center" vertical="center" wrapText="1"/>
    </xf>
    <xf numFmtId="1" fontId="66" fillId="21" borderId="56" xfId="2" applyNumberFormat="1" applyFont="1" applyFill="1" applyBorder="1" applyAlignment="1" applyProtection="1">
      <alignment horizontal="center" vertical="center"/>
    </xf>
    <xf numFmtId="1" fontId="64" fillId="2" borderId="56" xfId="0" applyNumberFormat="1" applyFont="1" applyFill="1" applyBorder="1" applyAlignment="1">
      <alignment horizontal="center" vertical="center" wrapText="1"/>
    </xf>
    <xf numFmtId="2" fontId="64" fillId="21" borderId="56" xfId="2" applyNumberFormat="1" applyFont="1" applyFill="1" applyBorder="1" applyAlignment="1">
      <alignment horizontal="center" vertical="center" wrapText="1"/>
    </xf>
    <xf numFmtId="9" fontId="65" fillId="2" borderId="56" xfId="2" applyFont="1" applyFill="1" applyBorder="1" applyAlignment="1">
      <alignment horizontal="center" vertical="center" wrapText="1"/>
    </xf>
    <xf numFmtId="9" fontId="65" fillId="21" borderId="56" xfId="2" applyFont="1" applyFill="1" applyBorder="1" applyAlignment="1">
      <alignment horizontal="center" vertical="center" wrapText="1"/>
    </xf>
    <xf numFmtId="0" fontId="66" fillId="2" borderId="56" xfId="0" applyFont="1" applyFill="1" applyBorder="1" applyAlignment="1" applyProtection="1">
      <alignment horizontal="left" vertical="center" wrapText="1"/>
      <protection locked="0"/>
    </xf>
    <xf numFmtId="0" fontId="66" fillId="2" borderId="56" xfId="3" applyFont="1" applyFill="1" applyBorder="1" applyAlignment="1" applyProtection="1">
      <alignment horizontal="left" vertical="center" wrapText="1"/>
      <protection locked="0"/>
    </xf>
    <xf numFmtId="0" fontId="65" fillId="2" borderId="56" xfId="3" applyFont="1" applyFill="1" applyBorder="1" applyAlignment="1">
      <alignment horizontal="center" vertical="center" wrapText="1"/>
    </xf>
    <xf numFmtId="9" fontId="65" fillId="34" borderId="56" xfId="3" applyNumberFormat="1" applyFont="1" applyFill="1" applyBorder="1" applyAlignment="1">
      <alignment horizontal="center" vertical="center" wrapText="1"/>
    </xf>
    <xf numFmtId="9" fontId="65" fillId="2" borderId="56" xfId="2" applyNumberFormat="1" applyFont="1" applyFill="1" applyBorder="1" applyAlignment="1">
      <alignment horizontal="center" vertical="center" wrapText="1"/>
    </xf>
    <xf numFmtId="0" fontId="68" fillId="2" borderId="56" xfId="0" applyFont="1" applyFill="1" applyBorder="1" applyAlignment="1" applyProtection="1">
      <alignment horizontal="left" vertical="center" wrapText="1"/>
      <protection locked="0"/>
    </xf>
    <xf numFmtId="0" fontId="69" fillId="4" borderId="56" xfId="0" applyFont="1" applyFill="1" applyBorder="1" applyAlignment="1">
      <alignment horizontal="left" vertical="center" wrapText="1"/>
    </xf>
    <xf numFmtId="9" fontId="64" fillId="2" borderId="56" xfId="0" applyNumberFormat="1" applyFont="1" applyFill="1" applyBorder="1" applyAlignment="1">
      <alignment horizontal="center" vertical="center" wrapText="1"/>
    </xf>
    <xf numFmtId="2" fontId="66" fillId="2" borderId="56" xfId="2" applyNumberFormat="1" applyFont="1" applyFill="1" applyBorder="1" applyAlignment="1" applyProtection="1">
      <alignment horizontal="center" vertical="center" wrapText="1"/>
      <protection locked="0"/>
    </xf>
    <xf numFmtId="2" fontId="66" fillId="21" borderId="56" xfId="1" applyNumberFormat="1" applyFont="1" applyFill="1" applyBorder="1" applyAlignment="1" applyProtection="1">
      <alignment horizontal="center" vertical="center"/>
    </xf>
    <xf numFmtId="0" fontId="66" fillId="2" borderId="56" xfId="0" applyFont="1" applyFill="1" applyBorder="1" applyAlignment="1" applyProtection="1">
      <alignment horizontal="center" vertical="center" wrapText="1"/>
      <protection locked="0"/>
    </xf>
    <xf numFmtId="2" fontId="64" fillId="21" borderId="56" xfId="3" applyNumberFormat="1" applyFont="1" applyFill="1" applyBorder="1" applyAlignment="1">
      <alignment horizontal="center" vertical="center" wrapText="1"/>
    </xf>
    <xf numFmtId="0" fontId="66" fillId="4" borderId="56" xfId="0" applyFont="1" applyFill="1" applyBorder="1" applyAlignment="1">
      <alignment horizontal="left" vertical="center" wrapText="1"/>
    </xf>
    <xf numFmtId="0" fontId="66" fillId="4" borderId="56" xfId="0" applyFont="1" applyFill="1" applyBorder="1" applyAlignment="1">
      <alignment horizontal="center" vertical="center" wrapText="1"/>
    </xf>
    <xf numFmtId="0" fontId="70" fillId="2" borderId="56" xfId="4" applyFont="1" applyFill="1" applyBorder="1" applyAlignment="1" applyProtection="1">
      <alignment horizontal="left" vertical="center" wrapText="1"/>
      <protection locked="0"/>
    </xf>
    <xf numFmtId="2" fontId="66" fillId="2" borderId="56" xfId="2" applyNumberFormat="1" applyFont="1" applyFill="1" applyBorder="1" applyAlignment="1">
      <alignment horizontal="center" vertical="center" wrapText="1"/>
    </xf>
    <xf numFmtId="9" fontId="66" fillId="2" borderId="56" xfId="2" applyFont="1" applyFill="1" applyBorder="1" applyAlignment="1">
      <alignment horizontal="center" vertical="center" wrapText="1"/>
    </xf>
    <xf numFmtId="2" fontId="64" fillId="2" borderId="56" xfId="0" applyNumberFormat="1" applyFont="1" applyFill="1" applyBorder="1" applyAlignment="1">
      <alignment horizontal="center" vertical="center"/>
    </xf>
    <xf numFmtId="1" fontId="64" fillId="2" borderId="56" xfId="0" applyNumberFormat="1" applyFont="1" applyFill="1" applyBorder="1" applyAlignment="1">
      <alignment horizontal="center" vertical="center"/>
    </xf>
    <xf numFmtId="9" fontId="64" fillId="2" borderId="56" xfId="2" applyFont="1" applyFill="1" applyBorder="1" applyAlignment="1">
      <alignment horizontal="center" vertical="center"/>
    </xf>
    <xf numFmtId="1" fontId="68" fillId="2" borderId="56" xfId="0" applyNumberFormat="1" applyFont="1" applyFill="1" applyBorder="1" applyAlignment="1">
      <alignment horizontal="center" vertical="center"/>
    </xf>
    <xf numFmtId="0" fontId="64" fillId="2" borderId="56" xfId="0" applyFont="1" applyFill="1" applyBorder="1" applyAlignment="1">
      <alignment horizontal="center" vertical="center"/>
    </xf>
    <xf numFmtId="10" fontId="66" fillId="2" borderId="56" xfId="0" applyNumberFormat="1" applyFont="1" applyFill="1" applyBorder="1" applyAlignment="1" applyProtection="1">
      <alignment horizontal="center" vertical="center" wrapText="1"/>
      <protection locked="0"/>
    </xf>
    <xf numFmtId="9" fontId="64" fillId="2" borderId="56" xfId="2" applyFont="1" applyFill="1" applyBorder="1" applyAlignment="1">
      <alignment horizontal="left" vertical="center" wrapText="1"/>
    </xf>
    <xf numFmtId="2" fontId="64" fillId="13" borderId="56" xfId="0" applyNumberFormat="1" applyFont="1" applyFill="1" applyBorder="1" applyAlignment="1">
      <alignment horizontal="center" vertical="center"/>
    </xf>
    <xf numFmtId="9" fontId="66" fillId="13" borderId="56" xfId="2" applyFont="1" applyFill="1" applyBorder="1" applyAlignment="1" applyProtection="1">
      <alignment horizontal="center" vertical="center" wrapText="1"/>
      <protection locked="0"/>
    </xf>
    <xf numFmtId="0" fontId="63" fillId="2" borderId="56" xfId="0" applyFont="1" applyFill="1" applyBorder="1" applyAlignment="1">
      <alignment horizontal="left"/>
    </xf>
    <xf numFmtId="0" fontId="64" fillId="2" borderId="56" xfId="0" applyFont="1" applyFill="1" applyBorder="1" applyAlignment="1">
      <alignment horizontal="left"/>
    </xf>
    <xf numFmtId="9" fontId="66" fillId="21" borderId="56" xfId="2" applyFont="1" applyFill="1" applyBorder="1" applyAlignment="1" applyProtection="1">
      <alignment horizontal="left" vertical="center"/>
    </xf>
    <xf numFmtId="10" fontId="64" fillId="2" borderId="56" xfId="2" applyNumberFormat="1" applyFont="1" applyFill="1" applyBorder="1" applyAlignment="1">
      <alignment horizontal="left" vertical="center" wrapText="1"/>
    </xf>
    <xf numFmtId="9" fontId="64" fillId="21" borderId="56" xfId="2" applyFont="1" applyFill="1" applyBorder="1" applyAlignment="1">
      <alignment horizontal="left" vertical="center" wrapText="1"/>
    </xf>
    <xf numFmtId="164" fontId="64" fillId="28" borderId="56" xfId="2" applyNumberFormat="1" applyFont="1" applyFill="1" applyBorder="1" applyAlignment="1">
      <alignment horizontal="left" vertical="center" wrapText="1"/>
    </xf>
    <xf numFmtId="9" fontId="67" fillId="2" borderId="56" xfId="2" applyFont="1" applyFill="1" applyBorder="1" applyAlignment="1">
      <alignment horizontal="left" vertical="center" wrapText="1"/>
    </xf>
    <xf numFmtId="0" fontId="65" fillId="2" borderId="56" xfId="0" applyFont="1" applyFill="1" applyBorder="1" applyAlignment="1">
      <alignment horizontal="left" vertical="center"/>
    </xf>
    <xf numFmtId="0" fontId="71" fillId="2" borderId="56" xfId="0" applyFont="1" applyFill="1" applyBorder="1" applyAlignment="1">
      <alignment horizontal="left" vertical="center" wrapText="1"/>
    </xf>
    <xf numFmtId="2" fontId="64" fillId="2" borderId="56" xfId="0" applyNumberFormat="1" applyFont="1" applyFill="1" applyBorder="1" applyAlignment="1">
      <alignment horizontal="left" vertical="center"/>
    </xf>
    <xf numFmtId="9" fontId="64" fillId="2" borderId="56" xfId="2" applyFont="1" applyFill="1" applyBorder="1" applyAlignment="1">
      <alignment horizontal="left" vertical="center"/>
    </xf>
    <xf numFmtId="10" fontId="66" fillId="2" borderId="56" xfId="0" applyNumberFormat="1" applyFont="1" applyFill="1" applyBorder="1" applyAlignment="1" applyProtection="1">
      <alignment horizontal="left" vertical="center" wrapText="1"/>
      <protection locked="0"/>
    </xf>
    <xf numFmtId="9" fontId="67" fillId="18" borderId="56" xfId="2" applyFont="1" applyFill="1" applyBorder="1" applyAlignment="1">
      <alignment horizontal="left" vertical="center" wrapText="1"/>
    </xf>
    <xf numFmtId="1" fontId="64" fillId="2" borderId="56" xfId="2" applyNumberFormat="1" applyFont="1" applyFill="1" applyBorder="1" applyAlignment="1">
      <alignment horizontal="left" vertical="center" wrapText="1"/>
    </xf>
    <xf numFmtId="1" fontId="66" fillId="21" borderId="56" xfId="1" applyNumberFormat="1" applyFont="1" applyFill="1" applyBorder="1" applyAlignment="1" applyProtection="1">
      <alignment horizontal="left" vertical="center"/>
    </xf>
    <xf numFmtId="0" fontId="64" fillId="28" borderId="56" xfId="0" applyFont="1" applyFill="1" applyBorder="1" applyAlignment="1">
      <alignment horizontal="left" vertical="center"/>
    </xf>
    <xf numFmtId="9" fontId="64" fillId="2" borderId="56" xfId="2" applyFont="1" applyFill="1" applyBorder="1" applyAlignment="1">
      <alignment horizontal="left"/>
    </xf>
    <xf numFmtId="9" fontId="66" fillId="16" borderId="56" xfId="0" applyNumberFormat="1" applyFont="1" applyFill="1" applyBorder="1" applyAlignment="1" applyProtection="1">
      <alignment horizontal="left" vertical="center" wrapText="1"/>
      <protection locked="0"/>
    </xf>
    <xf numFmtId="0" fontId="63" fillId="2" borderId="0" xfId="0" applyFont="1" applyFill="1" applyAlignment="1">
      <alignment horizontal="left"/>
    </xf>
    <xf numFmtId="0" fontId="63" fillId="2" borderId="0" xfId="0" applyFont="1" applyFill="1" applyAlignment="1">
      <alignment horizontal="left" vertical="center"/>
    </xf>
    <xf numFmtId="0" fontId="64" fillId="32" borderId="56" xfId="0" applyFont="1" applyFill="1" applyBorder="1" applyAlignment="1">
      <alignment horizontal="center"/>
    </xf>
    <xf numFmtId="0" fontId="72" fillId="0" borderId="56" xfId="0" applyFont="1" applyBorder="1" applyAlignment="1">
      <alignment horizontal="center"/>
    </xf>
    <xf numFmtId="0" fontId="64" fillId="14" borderId="56" xfId="0" applyFont="1" applyFill="1" applyBorder="1" applyAlignment="1">
      <alignment horizontal="center" vertical="center" wrapText="1"/>
    </xf>
    <xf numFmtId="0" fontId="66" fillId="2" borderId="56" xfId="0" applyFont="1" applyFill="1" applyBorder="1" applyAlignment="1" applyProtection="1">
      <alignment horizontal="left" vertical="center" wrapText="1"/>
      <protection locked="0"/>
    </xf>
    <xf numFmtId="0" fontId="65" fillId="21" borderId="56" xfId="3" applyFont="1" applyFill="1" applyBorder="1" applyAlignment="1">
      <alignment horizontal="center" vertical="center" wrapText="1"/>
    </xf>
    <xf numFmtId="2" fontId="73" fillId="0" borderId="56" xfId="2" applyNumberFormat="1" applyFont="1" applyBorder="1" applyAlignment="1" applyProtection="1">
      <alignment horizontal="center" vertical="center" wrapText="1"/>
      <protection hidden="1"/>
    </xf>
    <xf numFmtId="2" fontId="73" fillId="0" borderId="56" xfId="2" applyNumberFormat="1" applyFont="1" applyBorder="1" applyAlignment="1" applyProtection="1">
      <alignment horizontal="center" vertical="center" wrapText="1"/>
      <protection locked="0"/>
    </xf>
    <xf numFmtId="2" fontId="73" fillId="0" borderId="56" xfId="1" applyNumberFormat="1" applyFont="1" applyBorder="1" applyAlignment="1" applyProtection="1">
      <alignment horizontal="center" vertical="center" wrapText="1"/>
      <protection hidden="1"/>
    </xf>
    <xf numFmtId="2" fontId="73" fillId="0" borderId="56" xfId="1" applyNumberFormat="1" applyFont="1" applyBorder="1" applyAlignment="1" applyProtection="1">
      <alignment horizontal="center" vertical="center" wrapText="1"/>
      <protection locked="0"/>
    </xf>
    <xf numFmtId="2" fontId="73" fillId="0" borderId="56" xfId="1" applyNumberFormat="1" applyFont="1" applyBorder="1" applyAlignment="1" applyProtection="1">
      <alignment horizontal="center" vertical="center" wrapText="1"/>
      <protection locked="0" hidden="1"/>
    </xf>
    <xf numFmtId="2" fontId="73" fillId="0" borderId="56" xfId="1" applyNumberFormat="1" applyFont="1" applyFill="1" applyBorder="1" applyAlignment="1" applyProtection="1">
      <alignment horizontal="center" vertical="center" wrapText="1"/>
      <protection locked="0" hidden="1"/>
    </xf>
    <xf numFmtId="2" fontId="74" fillId="6" borderId="56" xfId="3" applyNumberFormat="1" applyFont="1" applyFill="1" applyBorder="1" applyAlignment="1">
      <alignment horizontal="center" vertical="center" wrapText="1"/>
    </xf>
    <xf numFmtId="164" fontId="75" fillId="35" borderId="56" xfId="0" applyNumberFormat="1" applyFont="1" applyFill="1" applyBorder="1" applyAlignment="1">
      <alignment horizontal="center" vertical="center" wrapText="1"/>
    </xf>
    <xf numFmtId="10" fontId="75" fillId="35" borderId="56" xfId="0" applyNumberFormat="1" applyFont="1" applyFill="1" applyBorder="1" applyAlignment="1">
      <alignment horizontal="center" vertical="center" wrapText="1"/>
    </xf>
    <xf numFmtId="0" fontId="40" fillId="2" borderId="56" xfId="0" applyFont="1" applyFill="1" applyBorder="1" applyAlignment="1" applyProtection="1">
      <alignment horizontal="justify" vertical="center" wrapText="1"/>
      <protection locked="0"/>
    </xf>
    <xf numFmtId="0" fontId="37" fillId="2" borderId="57" xfId="0" applyFont="1" applyFill="1" applyBorder="1" applyAlignment="1">
      <alignment horizontal="left" vertical="center" wrapText="1"/>
    </xf>
    <xf numFmtId="0" fontId="0" fillId="0" borderId="56" xfId="0" applyBorder="1" applyAlignment="1">
      <alignment horizontal="center" vertical="center"/>
    </xf>
    <xf numFmtId="10" fontId="73" fillId="2" borderId="56" xfId="2" applyNumberFormat="1" applyFont="1" applyFill="1" applyBorder="1" applyAlignment="1" applyProtection="1">
      <alignment horizontal="center" vertical="center" wrapText="1"/>
      <protection locked="0"/>
    </xf>
    <xf numFmtId="9" fontId="73" fillId="2" borderId="56" xfId="2" applyFont="1" applyFill="1" applyBorder="1" applyAlignment="1" applyProtection="1">
      <alignment horizontal="center" vertical="center" wrapText="1"/>
      <protection locked="0"/>
    </xf>
    <xf numFmtId="9" fontId="76" fillId="3" borderId="56" xfId="2" applyFont="1" applyFill="1" applyBorder="1" applyAlignment="1" applyProtection="1">
      <alignment horizontal="center" vertical="center" wrapText="1"/>
      <protection locked="0"/>
    </xf>
    <xf numFmtId="1" fontId="76" fillId="3" borderId="56" xfId="2" applyNumberFormat="1" applyFont="1" applyFill="1" applyBorder="1" applyAlignment="1" applyProtection="1">
      <alignment horizontal="center" vertical="center" wrapText="1"/>
      <protection locked="0"/>
    </xf>
    <xf numFmtId="9" fontId="77" fillId="3" borderId="56" xfId="2" applyFont="1" applyFill="1" applyBorder="1" applyAlignment="1">
      <alignment horizontal="center" vertical="center" wrapText="1"/>
    </xf>
    <xf numFmtId="0" fontId="65" fillId="2" borderId="56" xfId="0" applyFont="1" applyFill="1" applyBorder="1" applyAlignment="1">
      <alignment horizontal="left" vertical="center" wrapText="1"/>
    </xf>
    <xf numFmtId="9" fontId="67" fillId="18" borderId="56" xfId="2" applyFont="1" applyFill="1" applyBorder="1" applyAlignment="1">
      <alignment horizontal="center" vertical="center" wrapText="1"/>
    </xf>
    <xf numFmtId="0" fontId="66" fillId="2" borderId="56" xfId="4" applyFont="1" applyFill="1" applyBorder="1" applyAlignment="1" applyProtection="1">
      <alignment horizontal="center" vertical="center" wrapText="1"/>
      <protection locked="0"/>
    </xf>
    <xf numFmtId="0" fontId="70" fillId="2" borderId="56" xfId="4" applyFont="1" applyFill="1" applyBorder="1" applyAlignment="1" applyProtection="1">
      <alignment horizontal="center" vertical="center" wrapText="1"/>
      <protection locked="0"/>
    </xf>
    <xf numFmtId="1" fontId="64" fillId="2" borderId="56" xfId="2" applyNumberFormat="1" applyFont="1" applyFill="1" applyBorder="1" applyAlignment="1">
      <alignment horizontal="center" vertical="center" wrapText="1"/>
    </xf>
    <xf numFmtId="1" fontId="66" fillId="21" borderId="56" xfId="1" applyNumberFormat="1" applyFont="1" applyFill="1" applyBorder="1" applyAlignment="1" applyProtection="1">
      <alignment horizontal="center" vertical="center"/>
    </xf>
    <xf numFmtId="0" fontId="64" fillId="28" borderId="56" xfId="0" applyFont="1" applyFill="1" applyBorder="1" applyAlignment="1">
      <alignment horizontal="center" vertical="center"/>
    </xf>
    <xf numFmtId="0" fontId="64" fillId="2" borderId="56" xfId="0" applyFont="1" applyFill="1" applyBorder="1" applyAlignment="1">
      <alignment horizontal="center"/>
    </xf>
    <xf numFmtId="164" fontId="65" fillId="28" borderId="56" xfId="2" applyNumberFormat="1" applyFont="1" applyFill="1" applyBorder="1" applyAlignment="1">
      <alignment horizontal="center" vertical="center" wrapText="1"/>
    </xf>
    <xf numFmtId="9" fontId="56" fillId="2" borderId="68" xfId="0" applyNumberFormat="1" applyFont="1" applyFill="1" applyBorder="1" applyAlignment="1">
      <alignment horizontal="center" vertical="center" wrapText="1" readingOrder="1"/>
    </xf>
    <xf numFmtId="0" fontId="0" fillId="0" borderId="0" xfId="0" applyAlignment="1">
      <alignment horizontal="center" vertical="center"/>
    </xf>
    <xf numFmtId="9" fontId="0" fillId="0" borderId="61" xfId="0" applyNumberFormat="1" applyBorder="1" applyAlignment="1">
      <alignment horizontal="center" vertical="center"/>
    </xf>
    <xf numFmtId="0" fontId="56" fillId="0" borderId="77" xfId="0" applyFont="1" applyBorder="1" applyAlignment="1">
      <alignment horizontal="center" vertical="center" wrapText="1" readingOrder="1"/>
    </xf>
    <xf numFmtId="9" fontId="56" fillId="0" borderId="77" xfId="0" applyNumberFormat="1" applyFont="1" applyBorder="1" applyAlignment="1">
      <alignment horizontal="center" vertical="center" wrapText="1" readingOrder="1"/>
    </xf>
    <xf numFmtId="0" fontId="40" fillId="2" borderId="56" xfId="0" applyFont="1" applyFill="1" applyBorder="1" applyAlignment="1" applyProtection="1">
      <alignment horizontal="justify" vertical="center" wrapText="1"/>
      <protection locked="0"/>
    </xf>
    <xf numFmtId="0" fontId="37" fillId="2" borderId="57" xfId="0" applyFont="1" applyFill="1" applyBorder="1" applyAlignment="1">
      <alignment horizontal="left" vertical="center" wrapText="1"/>
    </xf>
    <xf numFmtId="0" fontId="40" fillId="2" borderId="57" xfId="0" applyFont="1" applyFill="1" applyBorder="1" applyAlignment="1" applyProtection="1">
      <alignment horizontal="left" vertical="center" wrapText="1"/>
      <protection locked="0"/>
    </xf>
    <xf numFmtId="0" fontId="40" fillId="2" borderId="56" xfId="0" applyFont="1" applyFill="1" applyBorder="1" applyAlignment="1" applyProtection="1">
      <alignment horizontal="left" vertical="center" wrapText="1"/>
      <protection locked="0"/>
    </xf>
    <xf numFmtId="0" fontId="78" fillId="7" borderId="56" xfId="0" applyFont="1" applyFill="1" applyBorder="1" applyAlignment="1">
      <alignment horizontal="center" vertical="center"/>
    </xf>
    <xf numFmtId="0" fontId="44" fillId="7" borderId="56" xfId="0" applyFont="1" applyFill="1" applyBorder="1" applyAlignment="1">
      <alignment horizontal="center" vertical="center"/>
    </xf>
    <xf numFmtId="0" fontId="44" fillId="7" borderId="56" xfId="0" applyFont="1" applyFill="1" applyBorder="1" applyAlignment="1">
      <alignment horizontal="center" vertical="center" wrapText="1"/>
    </xf>
    <xf numFmtId="9" fontId="50" fillId="2" borderId="56" xfId="2" applyFont="1" applyFill="1" applyBorder="1" applyAlignment="1">
      <alignment horizontal="center" vertical="center"/>
    </xf>
    <xf numFmtId="1" fontId="56" fillId="0" borderId="68" xfId="0" applyNumberFormat="1" applyFont="1" applyBorder="1" applyAlignment="1">
      <alignment horizontal="center" vertical="center" wrapText="1" readingOrder="1"/>
    </xf>
    <xf numFmtId="0" fontId="0" fillId="0" borderId="56" xfId="0" applyBorder="1" applyAlignment="1">
      <alignment horizontal="center"/>
    </xf>
    <xf numFmtId="0" fontId="64" fillId="2" borderId="56" xfId="0" applyFont="1" applyFill="1" applyBorder="1" applyAlignment="1">
      <alignment vertical="top" wrapText="1"/>
    </xf>
    <xf numFmtId="9" fontId="76" fillId="21" borderId="56" xfId="2" applyFont="1" applyFill="1" applyBorder="1" applyAlignment="1" applyProtection="1">
      <alignment horizontal="center" vertical="center" wrapText="1"/>
      <protection locked="0"/>
    </xf>
    <xf numFmtId="164" fontId="65" fillId="37" borderId="56" xfId="0" applyNumberFormat="1" applyFont="1" applyFill="1" applyBorder="1" applyAlignment="1">
      <alignment horizontal="center" vertical="center" wrapText="1"/>
    </xf>
    <xf numFmtId="9" fontId="66" fillId="37" borderId="56" xfId="2" applyFont="1" applyFill="1" applyBorder="1" applyAlignment="1" applyProtection="1">
      <alignment horizontal="center" vertical="center" wrapText="1"/>
      <protection locked="0"/>
    </xf>
    <xf numFmtId="10" fontId="66" fillId="37" borderId="56" xfId="0" applyNumberFormat="1" applyFont="1" applyFill="1" applyBorder="1" applyAlignment="1" applyProtection="1">
      <alignment horizontal="center" vertical="center" wrapText="1"/>
      <protection locked="0"/>
    </xf>
    <xf numFmtId="9" fontId="66" fillId="37" borderId="56" xfId="0" applyNumberFormat="1" applyFont="1" applyFill="1" applyBorder="1" applyAlignment="1" applyProtection="1">
      <alignment horizontal="center" vertical="center" wrapText="1"/>
      <protection locked="0"/>
    </xf>
    <xf numFmtId="0" fontId="42" fillId="2" borderId="56" xfId="0" applyFont="1" applyFill="1" applyBorder="1" applyAlignment="1">
      <alignment horizontal="left" vertical="center" wrapText="1"/>
    </xf>
    <xf numFmtId="0" fontId="43" fillId="2" borderId="56" xfId="0" applyFont="1" applyFill="1" applyBorder="1" applyAlignment="1" applyProtection="1">
      <alignment horizontal="left" vertical="center" wrapText="1"/>
      <protection locked="0"/>
    </xf>
    <xf numFmtId="9" fontId="66" fillId="2" borderId="57" xfId="2" applyFont="1" applyFill="1" applyBorder="1" applyAlignment="1" applyProtection="1">
      <alignment horizontal="center" vertical="center" wrapText="1"/>
      <protection locked="0"/>
    </xf>
    <xf numFmtId="9" fontId="66" fillId="2" borderId="59" xfId="2" applyFont="1" applyFill="1" applyBorder="1" applyAlignment="1" applyProtection="1">
      <alignment horizontal="center" vertical="center" wrapText="1"/>
      <protection locked="0"/>
    </xf>
    <xf numFmtId="9" fontId="66" fillId="2" borderId="58" xfId="2" applyFont="1" applyFill="1" applyBorder="1" applyAlignment="1" applyProtection="1">
      <alignment horizontal="center" vertical="center" wrapText="1"/>
      <protection locked="0"/>
    </xf>
    <xf numFmtId="9" fontId="64" fillId="2" borderId="57" xfId="2" applyFont="1" applyFill="1" applyBorder="1" applyAlignment="1">
      <alignment horizontal="center" vertical="center" wrapText="1"/>
    </xf>
    <xf numFmtId="9" fontId="64" fillId="2" borderId="59" xfId="2" applyFont="1" applyFill="1" applyBorder="1" applyAlignment="1">
      <alignment horizontal="center" vertical="center" wrapText="1"/>
    </xf>
    <xf numFmtId="9" fontId="40" fillId="2" borderId="56" xfId="0" applyNumberFormat="1" applyFont="1" applyFill="1" applyBorder="1" applyAlignment="1" applyProtection="1">
      <alignment horizontal="center" vertical="center" wrapText="1"/>
      <protection locked="0"/>
    </xf>
    <xf numFmtId="0" fontId="37" fillId="0" borderId="56" xfId="0" applyFont="1" applyFill="1" applyBorder="1" applyAlignment="1">
      <alignment horizontal="justify" vertical="center" wrapText="1"/>
    </xf>
    <xf numFmtId="0" fontId="40" fillId="0" borderId="56" xfId="0" applyFont="1" applyFill="1" applyBorder="1" applyAlignment="1" applyProtection="1">
      <alignment horizontal="justify" vertical="center" wrapText="1"/>
      <protection locked="0"/>
    </xf>
    <xf numFmtId="0" fontId="40" fillId="0" borderId="56" xfId="0" applyFont="1" applyFill="1" applyBorder="1" applyAlignment="1" applyProtection="1">
      <alignment vertical="center" wrapText="1"/>
      <protection locked="0"/>
    </xf>
    <xf numFmtId="0" fontId="44" fillId="32" borderId="56" xfId="0" applyFont="1" applyFill="1" applyBorder="1" applyAlignment="1">
      <alignment horizontal="left" vertical="center" wrapText="1"/>
    </xf>
    <xf numFmtId="0" fontId="80" fillId="0" borderId="0" xfId="0" applyFont="1"/>
    <xf numFmtId="0" fontId="79" fillId="7" borderId="56" xfId="0" applyFont="1" applyFill="1" applyBorder="1" applyAlignment="1">
      <alignment horizontal="center" vertical="center"/>
    </xf>
    <xf numFmtId="0" fontId="79" fillId="7" borderId="60" xfId="0" applyFont="1" applyFill="1" applyBorder="1" applyAlignment="1">
      <alignment horizontal="center" vertical="center" wrapText="1"/>
    </xf>
    <xf numFmtId="0" fontId="79" fillId="7" borderId="60" xfId="0" applyFont="1" applyFill="1" applyBorder="1" applyAlignment="1">
      <alignment horizontal="center" vertical="center"/>
    </xf>
    <xf numFmtId="0" fontId="81" fillId="7" borderId="56" xfId="0" applyFont="1" applyFill="1" applyBorder="1" applyAlignment="1">
      <alignment horizontal="center" vertical="center"/>
    </xf>
    <xf numFmtId="9" fontId="80" fillId="0" borderId="56" xfId="0" applyNumberFormat="1" applyFont="1" applyBorder="1" applyAlignment="1">
      <alignment horizontal="center" vertical="center"/>
    </xf>
    <xf numFmtId="9" fontId="82" fillId="30" borderId="68" xfId="0" applyNumberFormat="1" applyFont="1" applyFill="1" applyBorder="1" applyAlignment="1">
      <alignment horizontal="center" vertical="center" wrapText="1" readingOrder="1"/>
    </xf>
    <xf numFmtId="9" fontId="82" fillId="10" borderId="68" xfId="0" applyNumberFormat="1" applyFont="1" applyFill="1" applyBorder="1" applyAlignment="1">
      <alignment horizontal="center" vertical="center" wrapText="1" readingOrder="1"/>
    </xf>
    <xf numFmtId="9" fontId="82" fillId="36" borderId="76" xfId="0" applyNumberFormat="1" applyFont="1" applyFill="1" applyBorder="1" applyAlignment="1">
      <alignment horizontal="center" vertical="center" wrapText="1" readingOrder="1"/>
    </xf>
    <xf numFmtId="9" fontId="80" fillId="38" borderId="56" xfId="0" applyNumberFormat="1" applyFont="1" applyFill="1" applyBorder="1" applyAlignment="1">
      <alignment horizontal="center" vertical="center"/>
    </xf>
    <xf numFmtId="9" fontId="80" fillId="0" borderId="61" xfId="0" applyNumberFormat="1" applyFont="1" applyBorder="1" applyAlignment="1">
      <alignment horizontal="center" vertical="center"/>
    </xf>
    <xf numFmtId="0" fontId="80" fillId="0" borderId="56" xfId="0" applyFont="1" applyBorder="1"/>
    <xf numFmtId="9" fontId="80" fillId="0" borderId="0" xfId="2" applyFont="1" applyAlignment="1">
      <alignment horizontal="center" vertical="center"/>
    </xf>
    <xf numFmtId="9" fontId="81" fillId="18" borderId="56" xfId="2" applyFont="1" applyFill="1" applyBorder="1" applyAlignment="1">
      <alignment horizontal="center" vertical="center"/>
    </xf>
    <xf numFmtId="9" fontId="83" fillId="10" borderId="68" xfId="0" applyNumberFormat="1" applyFont="1" applyFill="1" applyBorder="1" applyAlignment="1">
      <alignment horizontal="center" vertical="center" wrapText="1" readingOrder="1"/>
    </xf>
    <xf numFmtId="9" fontId="83" fillId="10" borderId="76" xfId="0" applyNumberFormat="1" applyFont="1" applyFill="1" applyBorder="1" applyAlignment="1">
      <alignment horizontal="center" vertical="center" wrapText="1" readingOrder="1"/>
    </xf>
    <xf numFmtId="0" fontId="80" fillId="0" borderId="0" xfId="0" applyFont="1" applyAlignment="1">
      <alignment horizontal="center" vertical="center"/>
    </xf>
    <xf numFmtId="9" fontId="82" fillId="2" borderId="68" xfId="0" applyNumberFormat="1" applyFont="1" applyFill="1" applyBorder="1" applyAlignment="1">
      <alignment horizontal="center" vertical="center" wrapText="1" readingOrder="1"/>
    </xf>
    <xf numFmtId="9" fontId="82" fillId="2" borderId="76" xfId="0" applyNumberFormat="1" applyFont="1" applyFill="1" applyBorder="1" applyAlignment="1">
      <alignment horizontal="center" vertical="center" wrapText="1" readingOrder="1"/>
    </xf>
    <xf numFmtId="0" fontId="82" fillId="0" borderId="68" xfId="0" applyFont="1" applyBorder="1" applyAlignment="1">
      <alignment horizontal="center" vertical="center" wrapText="1" readingOrder="1"/>
    </xf>
    <xf numFmtId="9" fontId="82" fillId="0" borderId="68" xfId="0" applyNumberFormat="1" applyFont="1" applyBorder="1" applyAlignment="1">
      <alignment horizontal="center" vertical="center" wrapText="1" readingOrder="1"/>
    </xf>
    <xf numFmtId="0" fontId="82" fillId="0" borderId="77" xfId="0" applyFont="1" applyBorder="1" applyAlignment="1">
      <alignment horizontal="center" vertical="center" wrapText="1" readingOrder="1"/>
    </xf>
    <xf numFmtId="9" fontId="82" fillId="18" borderId="68" xfId="0" applyNumberFormat="1" applyFont="1" applyFill="1" applyBorder="1" applyAlignment="1">
      <alignment horizontal="center" vertical="center" wrapText="1" readingOrder="1"/>
    </xf>
    <xf numFmtId="9" fontId="82" fillId="10" borderId="76" xfId="0" applyNumberFormat="1" applyFont="1" applyFill="1" applyBorder="1" applyAlignment="1">
      <alignment horizontal="center" vertical="center" wrapText="1" readingOrder="1"/>
    </xf>
    <xf numFmtId="9" fontId="82" fillId="0" borderId="76" xfId="0" applyNumberFormat="1" applyFont="1" applyBorder="1" applyAlignment="1">
      <alignment horizontal="center" vertical="center" wrapText="1" readingOrder="1"/>
    </xf>
    <xf numFmtId="9" fontId="82" fillId="0" borderId="77" xfId="0" applyNumberFormat="1" applyFont="1" applyBorder="1" applyAlignment="1">
      <alignment horizontal="center" vertical="center" wrapText="1" readingOrder="1"/>
    </xf>
    <xf numFmtId="0" fontId="80" fillId="38" borderId="56" xfId="0" applyFont="1" applyFill="1" applyBorder="1" applyAlignment="1">
      <alignment vertical="center"/>
    </xf>
    <xf numFmtId="0" fontId="85" fillId="7" borderId="56" xfId="0" applyFont="1" applyFill="1" applyBorder="1" applyAlignment="1">
      <alignment horizontal="center" vertical="center" wrapText="1"/>
    </xf>
    <xf numFmtId="0" fontId="85" fillId="7" borderId="56" xfId="0" applyFont="1" applyFill="1" applyBorder="1" applyAlignment="1">
      <alignment horizontal="center" vertical="center"/>
    </xf>
    <xf numFmtId="0" fontId="84" fillId="7" borderId="56" xfId="0" applyFont="1" applyFill="1" applyBorder="1" applyAlignment="1">
      <alignment horizontal="center" vertical="center"/>
    </xf>
    <xf numFmtId="0" fontId="84" fillId="7" borderId="56" xfId="0" applyFont="1" applyFill="1" applyBorder="1" applyAlignment="1">
      <alignment horizontal="center" vertical="center" wrapText="1"/>
    </xf>
    <xf numFmtId="0" fontId="44" fillId="32" borderId="56" xfId="0" applyFont="1" applyFill="1" applyBorder="1" applyAlignment="1">
      <alignment horizontal="center" vertical="center" wrapText="1"/>
    </xf>
    <xf numFmtId="0" fontId="31" fillId="0" borderId="48" xfId="0" applyFont="1" applyFill="1" applyBorder="1" applyAlignment="1" applyProtection="1">
      <alignment horizontal="justify" vertical="center" wrapText="1"/>
      <protection locked="0"/>
    </xf>
    <xf numFmtId="0" fontId="31" fillId="0" borderId="41" xfId="0" applyFont="1" applyFill="1" applyBorder="1" applyAlignment="1" applyProtection="1">
      <alignment horizontal="justify" vertical="center" wrapText="1"/>
      <protection locked="0"/>
    </xf>
    <xf numFmtId="0" fontId="31" fillId="0" borderId="78" xfId="0" applyFont="1" applyFill="1" applyBorder="1" applyAlignment="1" applyProtection="1">
      <alignment horizontal="justify" vertical="center" wrapText="1"/>
      <protection locked="0"/>
    </xf>
    <xf numFmtId="0" fontId="86" fillId="32" borderId="0" xfId="0" applyFont="1" applyFill="1" applyBorder="1" applyAlignment="1" applyProtection="1">
      <alignment horizontal="center" vertical="center" wrapText="1"/>
      <protection locked="0"/>
    </xf>
    <xf numFmtId="0" fontId="87" fillId="32" borderId="0" xfId="0" applyFont="1" applyFill="1" applyBorder="1" applyAlignment="1" applyProtection="1">
      <alignment horizontal="center" vertical="center" wrapText="1"/>
      <protection locked="0"/>
    </xf>
    <xf numFmtId="0" fontId="79" fillId="7" borderId="0" xfId="0" applyFont="1" applyFill="1" applyBorder="1" applyAlignment="1">
      <alignment horizontal="center" vertical="center"/>
    </xf>
    <xf numFmtId="0" fontId="79" fillId="7" borderId="64" xfId="0" applyFont="1" applyFill="1" applyBorder="1" applyAlignment="1">
      <alignment horizontal="center" vertical="center"/>
    </xf>
    <xf numFmtId="0" fontId="37" fillId="2" borderId="56" xfId="0" applyFont="1" applyFill="1" applyBorder="1" applyAlignment="1">
      <alignment horizontal="left" vertical="center" wrapText="1"/>
    </xf>
    <xf numFmtId="9" fontId="37" fillId="2" borderId="56" xfId="2" applyFont="1" applyFill="1" applyBorder="1" applyAlignment="1">
      <alignment horizontal="left" vertical="center" wrapText="1"/>
    </xf>
    <xf numFmtId="0" fontId="8" fillId="12" borderId="10" xfId="0" applyFont="1" applyFill="1" applyBorder="1" applyAlignment="1" applyProtection="1">
      <alignment horizontal="center" vertical="center" wrapText="1"/>
      <protection locked="0"/>
    </xf>
    <xf numFmtId="0" fontId="8" fillId="12" borderId="24" xfId="0" applyFont="1" applyFill="1" applyBorder="1" applyAlignment="1" applyProtection="1">
      <alignment horizontal="center" vertical="center" wrapText="1"/>
      <protection locked="0"/>
    </xf>
    <xf numFmtId="0" fontId="8" fillId="12" borderId="39" xfId="0" applyFont="1" applyFill="1" applyBorder="1" applyAlignment="1" applyProtection="1">
      <alignment horizontal="center" vertical="center" wrapText="1"/>
      <protection locked="0"/>
    </xf>
    <xf numFmtId="0" fontId="8" fillId="12" borderId="25" xfId="0" applyFont="1" applyFill="1" applyBorder="1" applyAlignment="1" applyProtection="1">
      <alignment horizontal="center" vertical="center" wrapText="1"/>
      <protection locked="0"/>
    </xf>
    <xf numFmtId="10" fontId="13" fillId="12" borderId="34" xfId="0" applyNumberFormat="1" applyFont="1" applyFill="1" applyBorder="1" applyAlignment="1" applyProtection="1">
      <alignment horizontal="center" vertical="center" wrapText="1"/>
      <protection locked="0"/>
    </xf>
    <xf numFmtId="0" fontId="13" fillId="12" borderId="34" xfId="0" applyFont="1" applyFill="1" applyBorder="1" applyAlignment="1" applyProtection="1">
      <alignment horizontal="center" vertical="center" wrapText="1"/>
      <protection locked="0"/>
    </xf>
    <xf numFmtId="0" fontId="8" fillId="13" borderId="22" xfId="0" applyFont="1" applyFill="1" applyBorder="1" applyAlignment="1" applyProtection="1">
      <alignment horizontal="center" vertical="center" wrapText="1"/>
      <protection locked="0"/>
    </xf>
    <xf numFmtId="0" fontId="8" fillId="13" borderId="40" xfId="0" applyFont="1" applyFill="1" applyBorder="1" applyAlignment="1" applyProtection="1">
      <alignment horizontal="center" vertical="center" wrapText="1"/>
      <protection locked="0"/>
    </xf>
    <xf numFmtId="0" fontId="8" fillId="13" borderId="24" xfId="0" applyFont="1" applyFill="1" applyBorder="1" applyAlignment="1" applyProtection="1">
      <alignment horizontal="center" vertical="center" wrapText="1"/>
      <protection locked="0"/>
    </xf>
    <xf numFmtId="0" fontId="8" fillId="13" borderId="39" xfId="0" applyFont="1" applyFill="1" applyBorder="1" applyAlignment="1" applyProtection="1">
      <alignment horizontal="center" vertical="center" wrapText="1"/>
      <protection locked="0"/>
    </xf>
    <xf numFmtId="9" fontId="8" fillId="13" borderId="24" xfId="2" applyFont="1" applyFill="1" applyBorder="1" applyAlignment="1" applyProtection="1">
      <alignment horizontal="center" vertical="center" wrapText="1"/>
      <protection locked="0"/>
    </xf>
    <xf numFmtId="9" fontId="8" fillId="13" borderId="39" xfId="2" applyFont="1" applyFill="1" applyBorder="1" applyAlignment="1" applyProtection="1">
      <alignment horizontal="center" vertical="center" wrapText="1"/>
      <protection locked="0"/>
    </xf>
    <xf numFmtId="0" fontId="8" fillId="8" borderId="10" xfId="0" applyFont="1" applyFill="1" applyBorder="1" applyAlignment="1" applyProtection="1">
      <alignment horizontal="center" vertical="center" wrapText="1"/>
      <protection locked="0"/>
    </xf>
    <xf numFmtId="0" fontId="8" fillId="8" borderId="24" xfId="0" applyFont="1" applyFill="1" applyBorder="1" applyAlignment="1" applyProtection="1">
      <alignment horizontal="center" vertical="center" wrapText="1"/>
      <protection locked="0"/>
    </xf>
    <xf numFmtId="0" fontId="8" fillId="8" borderId="25" xfId="0" applyFont="1" applyFill="1" applyBorder="1" applyAlignment="1" applyProtection="1">
      <alignment horizontal="center" vertical="center" wrapText="1"/>
      <protection locked="0"/>
    </xf>
    <xf numFmtId="10" fontId="13" fillId="8" borderId="33" xfId="0" applyNumberFormat="1" applyFont="1" applyFill="1" applyBorder="1" applyAlignment="1" applyProtection="1">
      <alignment horizontal="center" vertical="center" wrapText="1"/>
      <protection locked="0"/>
    </xf>
    <xf numFmtId="10" fontId="13" fillId="8" borderId="32" xfId="0" applyNumberFormat="1" applyFont="1" applyFill="1" applyBorder="1" applyAlignment="1" applyProtection="1">
      <alignment horizontal="center" vertical="center" wrapText="1"/>
      <protection locked="0"/>
    </xf>
    <xf numFmtId="0" fontId="8" fillId="7" borderId="10" xfId="0" applyFont="1" applyFill="1" applyBorder="1" applyAlignment="1" applyProtection="1">
      <alignment horizontal="center" vertical="center" wrapText="1"/>
      <protection locked="0"/>
    </xf>
    <xf numFmtId="0" fontId="8" fillId="7" borderId="24" xfId="0" applyFont="1" applyFill="1" applyBorder="1" applyAlignment="1" applyProtection="1">
      <alignment horizontal="center" vertical="center" wrapText="1"/>
      <protection locked="0"/>
    </xf>
    <xf numFmtId="0" fontId="8" fillId="7" borderId="25" xfId="0" applyFont="1" applyFill="1" applyBorder="1" applyAlignment="1" applyProtection="1">
      <alignment horizontal="center" vertical="center" wrapText="1"/>
      <protection locked="0"/>
    </xf>
    <xf numFmtId="0" fontId="4" fillId="9" borderId="22" xfId="0" applyFont="1" applyFill="1" applyBorder="1" applyAlignment="1">
      <alignment horizontal="center" vertical="center" wrapText="1"/>
    </xf>
    <xf numFmtId="0" fontId="4" fillId="9" borderId="23" xfId="0" applyFont="1" applyFill="1" applyBorder="1" applyAlignment="1">
      <alignment horizontal="center" vertical="center" wrapText="1"/>
    </xf>
    <xf numFmtId="0" fontId="8" fillId="9" borderId="24" xfId="0" applyFont="1" applyFill="1" applyBorder="1" applyAlignment="1" applyProtection="1">
      <alignment horizontal="center" vertical="center" wrapText="1"/>
      <protection locked="0"/>
    </xf>
    <xf numFmtId="0" fontId="8" fillId="9" borderId="25" xfId="0" applyFont="1" applyFill="1" applyBorder="1" applyAlignment="1" applyProtection="1">
      <alignment horizontal="center" vertical="center" wrapText="1"/>
      <protection locked="0"/>
    </xf>
    <xf numFmtId="10" fontId="13" fillId="9" borderId="30" xfId="0" applyNumberFormat="1" applyFont="1" applyFill="1" applyBorder="1" applyAlignment="1" applyProtection="1">
      <alignment horizontal="center" vertical="center" wrapText="1"/>
      <protection locked="0"/>
    </xf>
    <xf numFmtId="10" fontId="13" fillId="9" borderId="32" xfId="0" applyNumberFormat="1" applyFont="1" applyFill="1" applyBorder="1" applyAlignment="1" applyProtection="1">
      <alignment horizontal="center" vertical="center" wrapText="1"/>
      <protection locked="0"/>
    </xf>
    <xf numFmtId="0" fontId="8" fillId="11" borderId="10" xfId="0" applyFont="1" applyFill="1" applyBorder="1" applyAlignment="1" applyProtection="1">
      <alignment horizontal="center" vertical="center" wrapText="1"/>
      <protection locked="0"/>
    </xf>
    <xf numFmtId="0" fontId="8" fillId="11" borderId="24" xfId="0" applyFont="1" applyFill="1" applyBorder="1" applyAlignment="1" applyProtection="1">
      <alignment horizontal="center" vertical="center" wrapText="1"/>
      <protection locked="0"/>
    </xf>
    <xf numFmtId="0" fontId="8" fillId="11" borderId="39" xfId="0" applyFont="1" applyFill="1" applyBorder="1" applyAlignment="1" applyProtection="1">
      <alignment horizontal="center" vertical="center" wrapText="1"/>
      <protection locked="0"/>
    </xf>
    <xf numFmtId="0" fontId="8" fillId="11" borderId="25" xfId="0" applyFont="1" applyFill="1" applyBorder="1" applyAlignment="1" applyProtection="1">
      <alignment horizontal="center" vertical="center" wrapText="1"/>
      <protection locked="0"/>
    </xf>
    <xf numFmtId="10" fontId="13" fillId="11" borderId="33" xfId="0" applyNumberFormat="1" applyFont="1" applyFill="1" applyBorder="1" applyAlignment="1" applyProtection="1">
      <alignment horizontal="center" vertical="center" wrapText="1"/>
      <protection locked="0"/>
    </xf>
    <xf numFmtId="10" fontId="13" fillId="11" borderId="30" xfId="0" applyNumberFormat="1" applyFont="1" applyFill="1" applyBorder="1" applyAlignment="1" applyProtection="1">
      <alignment horizontal="center" vertical="center" wrapText="1"/>
      <protection locked="0"/>
    </xf>
    <xf numFmtId="10" fontId="13" fillId="11" borderId="32" xfId="0" applyNumberFormat="1" applyFont="1" applyFill="1" applyBorder="1" applyAlignment="1" applyProtection="1">
      <alignment horizontal="center" vertical="center" wrapText="1"/>
      <protection locked="0"/>
    </xf>
    <xf numFmtId="0" fontId="21" fillId="6" borderId="9"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5" fillId="21" borderId="13" xfId="0" applyFont="1" applyFill="1" applyBorder="1" applyAlignment="1">
      <alignment horizontal="center" vertical="center" wrapText="1"/>
    </xf>
    <xf numFmtId="0" fontId="5" fillId="21" borderId="14" xfId="0" applyFont="1" applyFill="1" applyBorder="1" applyAlignment="1">
      <alignment horizontal="center" vertical="center" wrapText="1"/>
    </xf>
    <xf numFmtId="0" fontId="5" fillId="21" borderId="15"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7" fillId="19" borderId="9" xfId="3" applyFont="1" applyFill="1" applyBorder="1" applyAlignment="1">
      <alignment horizontal="center" vertical="center" wrapText="1"/>
    </xf>
    <xf numFmtId="0" fontId="7" fillId="19" borderId="7" xfId="3" applyFont="1" applyFill="1" applyBorder="1" applyAlignment="1">
      <alignment horizontal="center" vertical="center" wrapText="1"/>
    </xf>
    <xf numFmtId="0" fontId="7" fillId="19" borderId="16" xfId="3" applyFont="1" applyFill="1" applyBorder="1" applyAlignment="1">
      <alignment horizontal="center" vertical="center" wrapText="1"/>
    </xf>
    <xf numFmtId="0" fontId="7" fillId="19" borderId="17" xfId="3" applyFont="1" applyFill="1" applyBorder="1" applyAlignment="1">
      <alignment horizontal="center" vertical="center" wrapText="1"/>
    </xf>
    <xf numFmtId="0" fontId="7" fillId="19" borderId="18" xfId="3" applyFont="1" applyFill="1" applyBorder="1" applyAlignment="1">
      <alignment horizontal="center" vertical="center" wrapText="1"/>
    </xf>
    <xf numFmtId="0" fontId="7" fillId="19" borderId="19" xfId="3" applyFont="1" applyFill="1" applyBorder="1" applyAlignment="1">
      <alignment horizontal="center" vertical="center" wrapText="1"/>
    </xf>
    <xf numFmtId="0" fontId="7" fillId="19" borderId="20" xfId="3" applyFont="1" applyFill="1" applyBorder="1" applyAlignment="1">
      <alignment horizontal="center" vertical="center" wrapText="1"/>
    </xf>
    <xf numFmtId="0" fontId="7" fillId="19" borderId="21" xfId="3" applyFont="1" applyFill="1" applyBorder="1" applyAlignment="1">
      <alignment horizontal="center" vertical="center" wrapText="1"/>
    </xf>
    <xf numFmtId="0" fontId="11" fillId="21" borderId="13" xfId="0" applyFont="1" applyFill="1" applyBorder="1" applyAlignment="1">
      <alignment horizontal="center" vertical="center"/>
    </xf>
    <xf numFmtId="0" fontId="11" fillId="21" borderId="27" xfId="0" applyFont="1" applyFill="1" applyBorder="1" applyAlignment="1">
      <alignment horizontal="center" vertical="center"/>
    </xf>
    <xf numFmtId="0" fontId="15" fillId="6" borderId="27" xfId="3" applyFont="1" applyFill="1" applyBorder="1" applyAlignment="1">
      <alignment horizontal="center" vertical="center" wrapText="1"/>
    </xf>
    <xf numFmtId="0" fontId="15" fillId="6" borderId="41" xfId="3" applyFont="1" applyFill="1" applyBorder="1" applyAlignment="1">
      <alignment horizontal="center" vertical="center" wrapText="1"/>
    </xf>
    <xf numFmtId="0" fontId="22" fillId="5" borderId="7" xfId="3" applyFont="1" applyFill="1" applyBorder="1" applyAlignment="1">
      <alignment horizontal="center" vertical="center" wrapText="1"/>
    </xf>
    <xf numFmtId="0" fontId="15" fillId="6" borderId="7" xfId="3" applyFont="1" applyFill="1" applyBorder="1" applyAlignment="1">
      <alignment horizontal="center" vertical="center" wrapText="1"/>
    </xf>
    <xf numFmtId="0" fontId="6" fillId="6" borderId="7" xfId="0" applyFont="1" applyFill="1" applyBorder="1" applyAlignment="1">
      <alignment horizontal="center" vertical="center"/>
    </xf>
    <xf numFmtId="0" fontId="4" fillId="2" borderId="36" xfId="0" applyFont="1" applyFill="1" applyBorder="1" applyAlignment="1">
      <alignment horizontal="center"/>
    </xf>
    <xf numFmtId="0" fontId="4" fillId="2" borderId="37" xfId="0" applyFont="1" applyFill="1" applyBorder="1" applyAlignment="1">
      <alignment horizontal="center"/>
    </xf>
    <xf numFmtId="0" fontId="4" fillId="2" borderId="38" xfId="0" applyFont="1" applyFill="1" applyBorder="1" applyAlignment="1">
      <alignment horizontal="center"/>
    </xf>
    <xf numFmtId="0" fontId="23" fillId="22" borderId="36" xfId="0" applyFont="1" applyFill="1" applyBorder="1" applyAlignment="1">
      <alignment horizontal="center" vertical="center"/>
    </xf>
    <xf numFmtId="0" fontId="23" fillId="22" borderId="37" xfId="0" applyFont="1" applyFill="1" applyBorder="1" applyAlignment="1">
      <alignment horizontal="center" vertical="center"/>
    </xf>
    <xf numFmtId="0" fontId="23" fillId="22" borderId="3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10" xfId="0" applyFont="1" applyFill="1" applyBorder="1" applyAlignment="1">
      <alignment horizontal="center" vertical="center" wrapText="1"/>
    </xf>
    <xf numFmtId="0" fontId="25" fillId="21" borderId="42" xfId="0" applyFont="1" applyFill="1" applyBorder="1" applyAlignment="1">
      <alignment horizontal="center" vertical="center" wrapText="1"/>
    </xf>
    <xf numFmtId="0" fontId="25" fillId="21" borderId="25" xfId="0" applyFont="1" applyFill="1" applyBorder="1" applyAlignment="1">
      <alignment horizontal="center" vertical="center" wrapText="1"/>
    </xf>
    <xf numFmtId="0" fontId="22" fillId="5" borderId="27" xfId="3" applyFont="1" applyFill="1" applyBorder="1" applyAlignment="1">
      <alignment horizontal="center" vertical="center" wrapText="1"/>
    </xf>
    <xf numFmtId="0" fontId="22" fillId="5" borderId="41" xfId="3" applyFont="1" applyFill="1" applyBorder="1" applyAlignment="1">
      <alignment horizontal="center" vertical="center" wrapText="1"/>
    </xf>
    <xf numFmtId="0" fontId="22" fillId="10" borderId="27" xfId="3" applyFont="1" applyFill="1" applyBorder="1" applyAlignment="1">
      <alignment horizontal="center" vertical="center" wrapText="1"/>
    </xf>
    <xf numFmtId="0" fontId="22" fillId="10" borderId="41" xfId="3" applyFont="1" applyFill="1" applyBorder="1" applyAlignment="1">
      <alignment horizontal="center" vertical="center" wrapText="1"/>
    </xf>
    <xf numFmtId="9" fontId="65" fillId="37" borderId="57" xfId="0" applyNumberFormat="1" applyFont="1" applyFill="1" applyBorder="1" applyAlignment="1">
      <alignment horizontal="center" vertical="center" wrapText="1"/>
    </xf>
    <xf numFmtId="0" fontId="65" fillId="37" borderId="58" xfId="0" applyFont="1" applyFill="1" applyBorder="1" applyAlignment="1">
      <alignment horizontal="center" vertical="center" wrapText="1"/>
    </xf>
    <xf numFmtId="0" fontId="65" fillId="37" borderId="59" xfId="0" applyFont="1" applyFill="1" applyBorder="1" applyAlignment="1">
      <alignment horizontal="center" vertical="center" wrapText="1"/>
    </xf>
    <xf numFmtId="0" fontId="65" fillId="32" borderId="56" xfId="3" applyFont="1" applyFill="1" applyBorder="1" applyAlignment="1">
      <alignment horizontal="center" vertical="center" wrapText="1"/>
    </xf>
    <xf numFmtId="0" fontId="60" fillId="0" borderId="56" xfId="0" applyFont="1" applyFill="1" applyBorder="1" applyAlignment="1">
      <alignment horizontal="left" vertical="center" wrapText="1"/>
    </xf>
    <xf numFmtId="0" fontId="61" fillId="0" borderId="56" xfId="0" applyFont="1" applyFill="1" applyBorder="1" applyAlignment="1">
      <alignment horizontal="center" vertical="center"/>
    </xf>
    <xf numFmtId="0" fontId="65" fillId="32" borderId="56" xfId="0" applyFont="1" applyFill="1" applyBorder="1" applyAlignment="1">
      <alignment horizontal="center" vertical="center" wrapText="1"/>
    </xf>
    <xf numFmtId="0" fontId="65" fillId="21" borderId="56" xfId="3" applyFont="1" applyFill="1" applyBorder="1" applyAlignment="1">
      <alignment horizontal="center" vertical="center" wrapText="1"/>
    </xf>
    <xf numFmtId="0" fontId="65" fillId="32" borderId="60" xfId="0" applyFont="1" applyFill="1" applyBorder="1" applyAlignment="1">
      <alignment horizontal="center" vertical="center" wrapText="1"/>
    </xf>
    <xf numFmtId="0" fontId="65" fillId="32" borderId="75" xfId="0" applyFont="1" applyFill="1" applyBorder="1" applyAlignment="1">
      <alignment horizontal="center" vertical="center" wrapText="1"/>
    </xf>
    <xf numFmtId="0" fontId="65" fillId="32" borderId="61" xfId="0" applyFont="1" applyFill="1" applyBorder="1" applyAlignment="1">
      <alignment horizontal="center" vertical="center" wrapText="1"/>
    </xf>
    <xf numFmtId="0" fontId="65" fillId="33" borderId="56" xfId="3" applyFont="1" applyFill="1" applyBorder="1" applyAlignment="1">
      <alignment horizontal="center" vertical="center" wrapText="1"/>
    </xf>
    <xf numFmtId="0" fontId="65" fillId="32" borderId="56" xfId="0" applyFont="1" applyFill="1" applyBorder="1" applyAlignment="1">
      <alignment horizontal="center" vertical="center"/>
    </xf>
    <xf numFmtId="0" fontId="65" fillId="34" borderId="60" xfId="3" applyFont="1" applyFill="1" applyBorder="1" applyAlignment="1">
      <alignment horizontal="center" vertical="center" wrapText="1"/>
    </xf>
    <xf numFmtId="0" fontId="65" fillId="34" borderId="61" xfId="3" applyFont="1" applyFill="1" applyBorder="1" applyAlignment="1">
      <alignment horizontal="center" vertical="center" wrapText="1"/>
    </xf>
    <xf numFmtId="0" fontId="65" fillId="2" borderId="57" xfId="0" applyFont="1" applyFill="1" applyBorder="1" applyAlignment="1">
      <alignment horizontal="left" vertical="center" wrapText="1"/>
    </xf>
    <xf numFmtId="0" fontId="65" fillId="2" borderId="58" xfId="0" applyFont="1" applyFill="1" applyBorder="1" applyAlignment="1">
      <alignment horizontal="left" vertical="center" wrapText="1"/>
    </xf>
    <xf numFmtId="0" fontId="66" fillId="2" borderId="56" xfId="0" applyFont="1" applyFill="1" applyBorder="1" applyAlignment="1" applyProtection="1">
      <alignment horizontal="left" vertical="center" wrapText="1"/>
      <protection locked="0"/>
    </xf>
    <xf numFmtId="0" fontId="65" fillId="5" borderId="56" xfId="3" applyFont="1" applyFill="1" applyBorder="1" applyAlignment="1">
      <alignment horizontal="center" vertical="center" wrapText="1"/>
    </xf>
    <xf numFmtId="10" fontId="66" fillId="37" borderId="56" xfId="0" applyNumberFormat="1" applyFont="1" applyFill="1" applyBorder="1" applyAlignment="1" applyProtection="1">
      <alignment horizontal="center" vertical="center" wrapText="1"/>
      <protection locked="0"/>
    </xf>
    <xf numFmtId="164" fontId="66" fillId="37" borderId="56" xfId="0" applyNumberFormat="1" applyFont="1" applyFill="1" applyBorder="1" applyAlignment="1" applyProtection="1">
      <alignment horizontal="center" vertical="center" wrapText="1"/>
      <protection locked="0"/>
    </xf>
    <xf numFmtId="0" fontId="65" fillId="2" borderId="59" xfId="0" applyFont="1" applyFill="1" applyBorder="1" applyAlignment="1">
      <alignment horizontal="left" vertical="center" wrapText="1"/>
    </xf>
    <xf numFmtId="10" fontId="66" fillId="2" borderId="56" xfId="0" applyNumberFormat="1" applyFont="1" applyFill="1" applyBorder="1" applyAlignment="1" applyProtection="1">
      <alignment horizontal="center" vertical="center" wrapText="1"/>
      <protection locked="0"/>
    </xf>
    <xf numFmtId="0" fontId="66" fillId="2" borderId="56" xfId="0" applyNumberFormat="1" applyFont="1" applyFill="1" applyBorder="1" applyAlignment="1" applyProtection="1">
      <alignment horizontal="center" vertical="center" wrapText="1"/>
      <protection locked="0"/>
    </xf>
    <xf numFmtId="0" fontId="65" fillId="2" borderId="56" xfId="3" applyFont="1" applyFill="1" applyBorder="1" applyAlignment="1">
      <alignment horizontal="center" vertical="center" wrapText="1"/>
    </xf>
    <xf numFmtId="0" fontId="28" fillId="6" borderId="17" xfId="0" applyFont="1" applyFill="1" applyBorder="1" applyAlignment="1">
      <alignment horizontal="center" vertical="center" wrapText="1"/>
    </xf>
    <xf numFmtId="0" fontId="28" fillId="6" borderId="0" xfId="0" applyFont="1" applyFill="1" applyBorder="1" applyAlignment="1">
      <alignment horizontal="center" vertical="center" wrapText="1"/>
    </xf>
    <xf numFmtId="0" fontId="28" fillId="6" borderId="20" xfId="0" applyFont="1" applyFill="1" applyBorder="1" applyAlignment="1">
      <alignment horizontal="center" vertical="center" wrapText="1"/>
    </xf>
    <xf numFmtId="0" fontId="28" fillId="6" borderId="72" xfId="0" applyFont="1" applyFill="1" applyBorder="1" applyAlignment="1">
      <alignment horizontal="center" vertical="center" wrapText="1"/>
    </xf>
    <xf numFmtId="0" fontId="28" fillId="6" borderId="56" xfId="0" applyFont="1" applyFill="1" applyBorder="1" applyAlignment="1">
      <alignment horizontal="center" vertical="center" wrapText="1"/>
    </xf>
    <xf numFmtId="0" fontId="28" fillId="6" borderId="60" xfId="0" applyFont="1" applyFill="1" applyBorder="1" applyAlignment="1">
      <alignment horizontal="center" vertical="center" wrapText="1"/>
    </xf>
    <xf numFmtId="0" fontId="28" fillId="6" borderId="61" xfId="0" applyFont="1" applyFill="1" applyBorder="1" applyAlignment="1">
      <alignment horizontal="center" vertical="center" wrapText="1"/>
    </xf>
    <xf numFmtId="9" fontId="54" fillId="11" borderId="33" xfId="2" applyFont="1" applyFill="1" applyBorder="1" applyAlignment="1" applyProtection="1">
      <alignment horizontal="center" vertical="center" wrapText="1"/>
      <protection locked="0"/>
    </xf>
    <xf numFmtId="9" fontId="54" fillId="11" borderId="30" xfId="2" applyFont="1" applyFill="1" applyBorder="1" applyAlignment="1" applyProtection="1">
      <alignment horizontal="center" vertical="center" wrapText="1"/>
      <protection locked="0"/>
    </xf>
    <xf numFmtId="9" fontId="54" fillId="11" borderId="32" xfId="2" applyFont="1" applyFill="1" applyBorder="1" applyAlignment="1" applyProtection="1">
      <alignment horizontal="center" vertical="center" wrapText="1"/>
      <protection locked="0"/>
    </xf>
    <xf numFmtId="9" fontId="31" fillId="7" borderId="24" xfId="2" applyFont="1" applyFill="1" applyBorder="1" applyAlignment="1" applyProtection="1">
      <alignment horizontal="center" vertical="center" wrapText="1"/>
      <protection locked="0"/>
    </xf>
    <xf numFmtId="9" fontId="31" fillId="7" borderId="25" xfId="2" applyFont="1" applyFill="1" applyBorder="1" applyAlignment="1" applyProtection="1">
      <alignment horizontal="center" vertical="center" wrapText="1"/>
      <protection locked="0"/>
    </xf>
    <xf numFmtId="0" fontId="31" fillId="11" borderId="24" xfId="0" applyFont="1" applyFill="1" applyBorder="1" applyAlignment="1" applyProtection="1">
      <alignment horizontal="justify" vertical="center" wrapText="1"/>
      <protection locked="0"/>
    </xf>
    <xf numFmtId="0" fontId="31" fillId="11" borderId="25" xfId="0" applyFont="1" applyFill="1" applyBorder="1" applyAlignment="1" applyProtection="1">
      <alignment horizontal="justify" vertical="center" wrapText="1"/>
      <protection locked="0"/>
    </xf>
    <xf numFmtId="0" fontId="31" fillId="11" borderId="39" xfId="0" applyFont="1" applyFill="1" applyBorder="1" applyAlignment="1" applyProtection="1">
      <alignment horizontal="justify" vertical="center" wrapText="1"/>
      <protection locked="0"/>
    </xf>
    <xf numFmtId="9" fontId="53" fillId="8" borderId="33" xfId="0" applyNumberFormat="1" applyFont="1" applyFill="1" applyBorder="1" applyAlignment="1" applyProtection="1">
      <alignment horizontal="center" vertical="center" wrapText="1"/>
      <protection locked="0"/>
    </xf>
    <xf numFmtId="9" fontId="53" fillId="8" borderId="30" xfId="0" applyNumberFormat="1" applyFont="1" applyFill="1" applyBorder="1" applyAlignment="1" applyProtection="1">
      <alignment horizontal="center" vertical="center" wrapText="1"/>
      <protection locked="0"/>
    </xf>
    <xf numFmtId="0" fontId="28" fillId="5" borderId="7" xfId="3" applyFont="1" applyFill="1" applyBorder="1" applyAlignment="1">
      <alignment horizontal="center" vertical="center" wrapText="1"/>
    </xf>
    <xf numFmtId="0" fontId="28" fillId="6" borderId="7" xfId="3" applyFont="1" applyFill="1" applyBorder="1" applyAlignment="1">
      <alignment horizontal="center" vertical="center" wrapText="1"/>
    </xf>
    <xf numFmtId="0" fontId="28" fillId="6" borderId="44" xfId="0" applyFont="1" applyFill="1" applyBorder="1" applyAlignment="1">
      <alignment horizontal="center" vertical="center" wrapText="1"/>
    </xf>
    <xf numFmtId="0" fontId="28" fillId="6" borderId="45" xfId="0" applyFont="1" applyFill="1" applyBorder="1" applyAlignment="1">
      <alignment horizontal="center" vertical="center" wrapText="1"/>
    </xf>
    <xf numFmtId="0" fontId="28" fillId="6" borderId="46" xfId="0" applyFont="1" applyFill="1" applyBorder="1" applyAlignment="1">
      <alignment horizontal="center" vertical="center" wrapText="1"/>
    </xf>
    <xf numFmtId="0" fontId="28" fillId="27" borderId="16" xfId="3" applyFont="1" applyFill="1" applyBorder="1" applyAlignment="1">
      <alignment horizontal="center" vertical="center" wrapText="1"/>
    </xf>
    <xf numFmtId="0" fontId="28" fillId="27" borderId="17" xfId="3" applyFont="1" applyFill="1" applyBorder="1" applyAlignment="1">
      <alignment horizontal="center" vertical="center" wrapText="1"/>
    </xf>
    <xf numFmtId="0" fontId="28" fillId="27" borderId="18" xfId="3" applyFont="1" applyFill="1" applyBorder="1" applyAlignment="1">
      <alignment horizontal="center" vertical="center" wrapText="1"/>
    </xf>
    <xf numFmtId="0" fontId="28" fillId="27" borderId="19" xfId="3" applyFont="1" applyFill="1" applyBorder="1" applyAlignment="1">
      <alignment horizontal="center" vertical="center" wrapText="1"/>
    </xf>
    <xf numFmtId="0" fontId="28" fillId="27" borderId="20" xfId="3" applyFont="1" applyFill="1" applyBorder="1" applyAlignment="1">
      <alignment horizontal="center" vertical="center" wrapText="1"/>
    </xf>
    <xf numFmtId="0" fontId="28" fillId="27" borderId="21" xfId="3" applyFont="1" applyFill="1" applyBorder="1" applyAlignment="1">
      <alignment horizontal="center" vertical="center" wrapText="1"/>
    </xf>
    <xf numFmtId="0" fontId="28" fillId="27" borderId="42" xfId="3" applyFont="1" applyFill="1" applyBorder="1" applyAlignment="1">
      <alignment horizontal="center" vertical="center" wrapText="1"/>
    </xf>
    <xf numFmtId="0" fontId="28" fillId="27" borderId="39" xfId="3" applyFont="1" applyFill="1" applyBorder="1" applyAlignment="1">
      <alignment horizontal="center" vertical="center" wrapText="1"/>
    </xf>
    <xf numFmtId="0" fontId="28" fillId="27" borderId="25" xfId="3" applyFont="1" applyFill="1" applyBorder="1" applyAlignment="1">
      <alignment horizontal="center" vertical="center" wrapText="1"/>
    </xf>
    <xf numFmtId="0" fontId="28" fillId="5" borderId="27" xfId="3" applyFont="1" applyFill="1" applyBorder="1" applyAlignment="1">
      <alignment horizontal="center" vertical="center" wrapText="1"/>
    </xf>
    <xf numFmtId="0" fontId="28" fillId="5" borderId="41" xfId="3" applyFont="1" applyFill="1" applyBorder="1" applyAlignment="1">
      <alignment horizontal="center" vertical="center" wrapText="1"/>
    </xf>
    <xf numFmtId="0" fontId="28" fillId="6" borderId="27" xfId="0" applyFont="1" applyFill="1" applyBorder="1" applyAlignment="1">
      <alignment horizontal="center" vertical="center"/>
    </xf>
    <xf numFmtId="0" fontId="28" fillId="6" borderId="41" xfId="0" applyFont="1" applyFill="1" applyBorder="1" applyAlignment="1">
      <alignment horizontal="center" vertical="center"/>
    </xf>
    <xf numFmtId="0" fontId="30" fillId="0" borderId="43"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55" xfId="0" applyFont="1" applyFill="1" applyBorder="1" applyAlignment="1">
      <alignment horizontal="center" vertical="center"/>
    </xf>
    <xf numFmtId="0" fontId="35" fillId="0" borderId="16" xfId="0" applyFont="1" applyFill="1" applyBorder="1" applyAlignment="1">
      <alignment horizontal="center" vertical="center" wrapText="1"/>
    </xf>
    <xf numFmtId="0" fontId="35" fillId="0" borderId="49" xfId="0" applyFont="1" applyFill="1" applyBorder="1" applyAlignment="1">
      <alignment horizontal="center" vertical="center" wrapText="1"/>
    </xf>
    <xf numFmtId="0" fontId="35" fillId="0" borderId="50" xfId="0" applyFont="1" applyFill="1" applyBorder="1" applyAlignment="1">
      <alignment horizontal="center" vertical="center" wrapText="1"/>
    </xf>
    <xf numFmtId="0" fontId="35" fillId="0" borderId="51" xfId="0" applyFont="1" applyFill="1" applyBorder="1" applyAlignment="1">
      <alignment horizontal="center" vertical="center" wrapText="1"/>
    </xf>
    <xf numFmtId="0" fontId="35" fillId="0" borderId="52" xfId="0" applyFont="1" applyFill="1" applyBorder="1" applyAlignment="1">
      <alignment horizontal="center" vertical="center" wrapText="1"/>
    </xf>
    <xf numFmtId="0" fontId="35" fillId="0" borderId="53" xfId="0" applyFont="1" applyFill="1" applyBorder="1" applyAlignment="1">
      <alignment horizontal="center" vertical="center" wrapText="1"/>
    </xf>
    <xf numFmtId="0" fontId="28" fillId="6" borderId="19" xfId="0" applyFont="1" applyFill="1" applyBorder="1" applyAlignment="1">
      <alignment horizontal="center" vertical="center" wrapText="1"/>
    </xf>
    <xf numFmtId="0" fontId="28" fillId="6" borderId="21" xfId="0" applyFont="1" applyFill="1" applyBorder="1" applyAlignment="1">
      <alignment horizontal="center" vertical="center" wrapText="1"/>
    </xf>
    <xf numFmtId="0" fontId="28" fillId="5" borderId="47" xfId="3" applyFont="1" applyFill="1" applyBorder="1" applyAlignment="1">
      <alignment horizontal="center" vertical="center" wrapText="1"/>
    </xf>
    <xf numFmtId="0" fontId="28" fillId="5" borderId="48" xfId="3" applyFont="1" applyFill="1" applyBorder="1" applyAlignment="1">
      <alignment horizontal="center" vertical="center" wrapText="1"/>
    </xf>
    <xf numFmtId="0" fontId="28" fillId="5" borderId="19" xfId="3" applyFont="1" applyFill="1" applyBorder="1" applyAlignment="1">
      <alignment horizontal="center" vertical="center" wrapText="1"/>
    </xf>
    <xf numFmtId="0" fontId="28" fillId="5" borderId="21" xfId="3" applyFont="1" applyFill="1" applyBorder="1" applyAlignment="1">
      <alignment horizontal="center" vertical="center" wrapText="1"/>
    </xf>
    <xf numFmtId="0" fontId="28" fillId="6" borderId="9" xfId="0" applyFont="1" applyFill="1" applyBorder="1" applyAlignment="1">
      <alignment horizontal="center" vertical="center" wrapText="1"/>
    </xf>
    <xf numFmtId="0" fontId="28" fillId="6" borderId="7" xfId="0" applyFont="1" applyFill="1" applyBorder="1" applyAlignment="1">
      <alignment horizontal="center" vertical="center" wrapText="1"/>
    </xf>
    <xf numFmtId="0" fontId="31" fillId="7" borderId="10" xfId="0" applyFont="1" applyFill="1" applyBorder="1" applyAlignment="1" applyProtection="1">
      <alignment horizontal="justify" vertical="center" wrapText="1"/>
      <protection locked="0"/>
    </xf>
    <xf numFmtId="0" fontId="31" fillId="8" borderId="10" xfId="0" applyFont="1" applyFill="1" applyBorder="1" applyAlignment="1" applyProtection="1">
      <alignment horizontal="justify" vertical="center" wrapText="1"/>
      <protection locked="0"/>
    </xf>
    <xf numFmtId="0" fontId="31" fillId="11" borderId="10" xfId="0" applyFont="1" applyFill="1" applyBorder="1" applyAlignment="1" applyProtection="1">
      <alignment horizontal="justify" vertical="center" wrapText="1"/>
      <protection locked="0"/>
    </xf>
    <xf numFmtId="0" fontId="31" fillId="8" borderId="24" xfId="0" applyFont="1" applyFill="1" applyBorder="1" applyAlignment="1" applyProtection="1">
      <alignment horizontal="justify" vertical="center" wrapText="1"/>
      <protection locked="0"/>
    </xf>
    <xf numFmtId="0" fontId="31" fillId="8" borderId="39" xfId="0" applyFont="1" applyFill="1" applyBorder="1" applyAlignment="1" applyProtection="1">
      <alignment horizontal="justify" vertical="center" wrapText="1"/>
      <protection locked="0"/>
    </xf>
    <xf numFmtId="0" fontId="31" fillId="8" borderId="25" xfId="0" applyFont="1" applyFill="1" applyBorder="1" applyAlignment="1" applyProtection="1">
      <alignment horizontal="justify" vertical="center" wrapText="1"/>
      <protection locked="0"/>
    </xf>
    <xf numFmtId="0" fontId="31" fillId="7" borderId="24" xfId="0" applyFont="1" applyFill="1" applyBorder="1" applyAlignment="1" applyProtection="1">
      <alignment horizontal="justify" vertical="center" wrapText="1"/>
      <protection locked="0"/>
    </xf>
    <xf numFmtId="0" fontId="31" fillId="7" borderId="25" xfId="0" applyFont="1" applyFill="1" applyBorder="1" applyAlignment="1" applyProtection="1">
      <alignment horizontal="justify" vertical="center" wrapText="1"/>
      <protection locked="0"/>
    </xf>
    <xf numFmtId="0" fontId="31" fillId="11" borderId="24" xfId="0" applyFont="1" applyFill="1" applyBorder="1" applyAlignment="1" applyProtection="1">
      <alignment horizontal="center" vertical="center" wrapText="1"/>
      <protection locked="0"/>
    </xf>
    <xf numFmtId="0" fontId="31" fillId="11" borderId="39" xfId="0" applyFont="1" applyFill="1" applyBorder="1" applyAlignment="1" applyProtection="1">
      <alignment horizontal="center" vertical="center" wrapText="1"/>
      <protection locked="0"/>
    </xf>
    <xf numFmtId="0" fontId="31" fillId="11" borderId="25"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13" borderId="2" xfId="0" applyFont="1" applyFill="1" applyBorder="1" applyAlignment="1" applyProtection="1">
      <alignment horizontal="center" vertical="center" wrapText="1"/>
      <protection locked="0"/>
    </xf>
    <xf numFmtId="0" fontId="4" fillId="11" borderId="6" xfId="0" applyFont="1" applyFill="1" applyBorder="1" applyAlignment="1">
      <alignment horizontal="justify" vertical="center" wrapText="1"/>
    </xf>
    <xf numFmtId="0" fontId="4" fillId="11" borderId="6" xfId="0" applyFont="1" applyFill="1" applyBorder="1" applyAlignment="1">
      <alignment horizontal="center" vertical="center" wrapText="1"/>
    </xf>
    <xf numFmtId="0" fontId="8" fillId="7" borderId="2" xfId="0" applyFont="1" applyFill="1" applyBorder="1" applyAlignment="1" applyProtection="1">
      <alignment horizontal="center" vertical="center" wrapText="1"/>
      <protection locked="0"/>
    </xf>
    <xf numFmtId="0" fontId="8" fillId="12" borderId="2" xfId="0" applyFont="1" applyFill="1" applyBorder="1" applyAlignment="1" applyProtection="1">
      <alignment horizontal="center" vertical="center" wrapText="1"/>
      <protection locked="0"/>
    </xf>
    <xf numFmtId="9" fontId="80" fillId="38" borderId="56" xfId="0" applyNumberFormat="1" applyFont="1" applyFill="1" applyBorder="1" applyAlignment="1">
      <alignment horizontal="center" vertical="center"/>
    </xf>
    <xf numFmtId="0" fontId="80" fillId="38" borderId="56" xfId="0" applyFont="1" applyFill="1" applyBorder="1" applyAlignment="1">
      <alignment horizontal="center" vertical="center"/>
    </xf>
    <xf numFmtId="9" fontId="80" fillId="0" borderId="0" xfId="2" applyFont="1" applyAlignment="1">
      <alignment horizontal="center" vertical="center"/>
    </xf>
    <xf numFmtId="9" fontId="66" fillId="2" borderId="57" xfId="2" applyFont="1" applyFill="1" applyBorder="1" applyAlignment="1" applyProtection="1">
      <alignment horizontal="center" vertical="center" wrapText="1"/>
      <protection locked="0"/>
    </xf>
    <xf numFmtId="9" fontId="66" fillId="2" borderId="59" xfId="2" applyFont="1" applyFill="1" applyBorder="1" applyAlignment="1" applyProtection="1">
      <alignment horizontal="center" vertical="center" wrapText="1"/>
      <protection locked="0"/>
    </xf>
    <xf numFmtId="9" fontId="66" fillId="2" borderId="58" xfId="2" applyFont="1" applyFill="1" applyBorder="1" applyAlignment="1" applyProtection="1">
      <alignment horizontal="center" vertical="center" wrapText="1"/>
      <protection locked="0"/>
    </xf>
    <xf numFmtId="0" fontId="79" fillId="7" borderId="57" xfId="0" applyFont="1" applyFill="1" applyBorder="1" applyAlignment="1">
      <alignment horizontal="center" vertical="center" wrapText="1"/>
    </xf>
    <xf numFmtId="0" fontId="79" fillId="7" borderId="58" xfId="0" applyFont="1" applyFill="1" applyBorder="1" applyAlignment="1">
      <alignment horizontal="center" vertical="center" wrapText="1"/>
    </xf>
    <xf numFmtId="0" fontId="79" fillId="7" borderId="59" xfId="0" applyFont="1" applyFill="1" applyBorder="1" applyAlignment="1">
      <alignment horizontal="center" vertical="center" wrapText="1"/>
    </xf>
    <xf numFmtId="0" fontId="40" fillId="2" borderId="57" xfId="0" applyFont="1" applyFill="1" applyBorder="1" applyAlignment="1" applyProtection="1">
      <alignment horizontal="left" vertical="center" wrapText="1"/>
      <protection locked="0"/>
    </xf>
    <xf numFmtId="0" fontId="40" fillId="2" borderId="58" xfId="0" applyFont="1" applyFill="1" applyBorder="1" applyAlignment="1" applyProtection="1">
      <alignment horizontal="left" vertical="center" wrapText="1"/>
      <protection locked="0"/>
    </xf>
    <xf numFmtId="0" fontId="84" fillId="7" borderId="65" xfId="0" applyFont="1" applyFill="1" applyBorder="1" applyAlignment="1">
      <alignment horizontal="center" vertical="center"/>
    </xf>
    <xf numFmtId="0" fontId="84" fillId="7" borderId="66" xfId="0" applyFont="1" applyFill="1" applyBorder="1" applyAlignment="1">
      <alignment horizontal="center" vertical="center"/>
    </xf>
    <xf numFmtId="0" fontId="84" fillId="7" borderId="63" xfId="0" applyFont="1" applyFill="1" applyBorder="1" applyAlignment="1">
      <alignment horizontal="center" vertical="center"/>
    </xf>
    <xf numFmtId="0" fontId="84" fillId="7" borderId="67" xfId="0" applyFont="1" applyFill="1" applyBorder="1" applyAlignment="1">
      <alignment horizontal="center" vertical="center"/>
    </xf>
    <xf numFmtId="0" fontId="40" fillId="2" borderId="56" xfId="0" applyFont="1" applyFill="1" applyBorder="1" applyAlignment="1" applyProtection="1">
      <alignment horizontal="justify" vertical="center" wrapText="1"/>
      <protection locked="0"/>
    </xf>
    <xf numFmtId="0" fontId="79" fillId="7" borderId="65" xfId="0" applyFont="1" applyFill="1" applyBorder="1" applyAlignment="1">
      <alignment horizontal="center" vertical="center" wrapText="1"/>
    </xf>
    <xf numFmtId="0" fontId="79" fillId="7" borderId="66" xfId="0" applyFont="1" applyFill="1" applyBorder="1" applyAlignment="1">
      <alignment horizontal="center" vertical="center" wrapText="1"/>
    </xf>
    <xf numFmtId="0" fontId="79" fillId="7" borderId="63" xfId="0" applyFont="1" applyFill="1" applyBorder="1" applyAlignment="1">
      <alignment horizontal="center" vertical="center" wrapText="1"/>
    </xf>
    <xf numFmtId="0" fontId="79" fillId="7" borderId="67" xfId="0" applyFont="1" applyFill="1" applyBorder="1" applyAlignment="1">
      <alignment horizontal="center" vertical="center" wrapText="1"/>
    </xf>
    <xf numFmtId="0" fontId="79" fillId="7" borderId="62" xfId="0" applyFont="1" applyFill="1" applyBorder="1" applyAlignment="1">
      <alignment horizontal="center" vertical="center"/>
    </xf>
    <xf numFmtId="0" fontId="79" fillId="7" borderId="0" xfId="0" applyFont="1" applyFill="1" applyBorder="1" applyAlignment="1">
      <alignment horizontal="center" vertical="center"/>
    </xf>
    <xf numFmtId="0" fontId="79" fillId="7" borderId="63" xfId="0" applyFont="1" applyFill="1" applyBorder="1" applyAlignment="1">
      <alignment horizontal="center" vertical="center"/>
    </xf>
    <xf numFmtId="0" fontId="79" fillId="7" borderId="64" xfId="0" applyFont="1" applyFill="1" applyBorder="1" applyAlignment="1">
      <alignment horizontal="center" vertical="center"/>
    </xf>
    <xf numFmtId="0" fontId="37" fillId="2" borderId="57" xfId="0" applyFont="1" applyFill="1" applyBorder="1" applyAlignment="1">
      <alignment horizontal="left" vertical="center" wrapText="1"/>
    </xf>
    <xf numFmtId="0" fontId="37" fillId="2" borderId="58" xfId="0" applyFont="1" applyFill="1" applyBorder="1" applyAlignment="1">
      <alignment horizontal="left" vertical="center" wrapText="1"/>
    </xf>
    <xf numFmtId="0" fontId="37" fillId="2" borderId="59" xfId="0" applyFont="1" applyFill="1" applyBorder="1" applyAlignment="1">
      <alignment horizontal="left" vertical="center" wrapText="1"/>
    </xf>
    <xf numFmtId="0" fontId="84" fillId="7" borderId="65" xfId="0" applyFont="1" applyFill="1" applyBorder="1" applyAlignment="1">
      <alignment horizontal="center" vertical="center" wrapText="1"/>
    </xf>
    <xf numFmtId="0" fontId="84" fillId="7" borderId="72" xfId="0" applyFont="1" applyFill="1" applyBorder="1" applyAlignment="1">
      <alignment horizontal="center" vertical="center" wrapText="1"/>
    </xf>
    <xf numFmtId="0" fontId="84" fillId="7" borderId="66" xfId="0" applyFont="1" applyFill="1" applyBorder="1" applyAlignment="1">
      <alignment horizontal="center" vertical="center" wrapText="1"/>
    </xf>
    <xf numFmtId="0" fontId="84" fillId="7" borderId="63" xfId="0" applyFont="1" applyFill="1" applyBorder="1" applyAlignment="1">
      <alignment horizontal="center" vertical="center" wrapText="1"/>
    </xf>
    <xf numFmtId="0" fontId="84" fillId="7" borderId="64" xfId="0" applyFont="1" applyFill="1" applyBorder="1" applyAlignment="1">
      <alignment horizontal="center" vertical="center" wrapText="1"/>
    </xf>
    <xf numFmtId="0" fontId="84" fillId="7" borderId="67" xfId="0" applyFont="1" applyFill="1" applyBorder="1" applyAlignment="1">
      <alignment horizontal="center" vertical="center" wrapText="1"/>
    </xf>
    <xf numFmtId="0" fontId="44" fillId="32" borderId="60" xfId="0" applyFont="1" applyFill="1" applyBorder="1" applyAlignment="1">
      <alignment horizontal="center" vertical="center" wrapText="1"/>
    </xf>
    <xf numFmtId="0" fontId="44" fillId="32" borderId="61" xfId="0" applyFont="1" applyFill="1" applyBorder="1" applyAlignment="1">
      <alignment horizontal="center" vertical="center" wrapText="1"/>
    </xf>
    <xf numFmtId="0" fontId="31" fillId="0" borderId="23" xfId="0" applyFont="1" applyFill="1" applyBorder="1" applyAlignment="1" applyProtection="1">
      <alignment horizontal="justify" vertical="center" wrapText="1"/>
      <protection locked="0"/>
    </xf>
    <xf numFmtId="0" fontId="31" fillId="0" borderId="10" xfId="0" applyFont="1" applyFill="1" applyBorder="1" applyAlignment="1" applyProtection="1">
      <alignment horizontal="justify" vertical="center" wrapText="1"/>
      <protection locked="0"/>
    </xf>
    <xf numFmtId="0" fontId="31" fillId="0" borderId="41" xfId="0" applyFont="1" applyFill="1" applyBorder="1" applyAlignment="1" applyProtection="1">
      <alignment horizontal="justify" vertical="center" wrapText="1"/>
      <protection locked="0"/>
    </xf>
    <xf numFmtId="0" fontId="44" fillId="7" borderId="65" xfId="0" applyFont="1" applyFill="1" applyBorder="1" applyAlignment="1">
      <alignment horizontal="center" vertical="center"/>
    </xf>
    <xf numFmtId="0" fontId="44" fillId="7" borderId="66" xfId="0" applyFont="1" applyFill="1" applyBorder="1" applyAlignment="1">
      <alignment horizontal="center" vertical="center"/>
    </xf>
    <xf numFmtId="0" fontId="44" fillId="7" borderId="63" xfId="0" applyFont="1" applyFill="1" applyBorder="1" applyAlignment="1">
      <alignment horizontal="center" vertical="center"/>
    </xf>
    <xf numFmtId="0" fontId="44" fillId="7" borderId="67" xfId="0" applyFont="1" applyFill="1" applyBorder="1" applyAlignment="1">
      <alignment horizontal="center" vertical="center"/>
    </xf>
    <xf numFmtId="0" fontId="46" fillId="7" borderId="56" xfId="0" applyFont="1" applyFill="1" applyBorder="1" applyAlignment="1">
      <alignment horizontal="center" vertical="center"/>
    </xf>
    <xf numFmtId="0" fontId="41" fillId="7" borderId="56" xfId="0" applyFont="1" applyFill="1" applyBorder="1" applyAlignment="1">
      <alignment horizontal="center" vertical="center"/>
    </xf>
    <xf numFmtId="0" fontId="44" fillId="7" borderId="65" xfId="0" applyFont="1" applyFill="1" applyBorder="1" applyAlignment="1">
      <alignment horizontal="center" vertical="center" wrapText="1"/>
    </xf>
    <xf numFmtId="0" fontId="44" fillId="7" borderId="63" xfId="0" applyFont="1" applyFill="1" applyBorder="1" applyAlignment="1">
      <alignment horizontal="center" vertical="center" wrapText="1"/>
    </xf>
    <xf numFmtId="0" fontId="0" fillId="0" borderId="56" xfId="0" applyBorder="1" applyAlignment="1">
      <alignment horizontal="center"/>
    </xf>
    <xf numFmtId="0" fontId="44" fillId="21" borderId="60" xfId="0" applyFont="1" applyFill="1" applyBorder="1" applyAlignment="1">
      <alignment horizontal="center" vertical="center"/>
    </xf>
    <xf numFmtId="0" fontId="44" fillId="21" borderId="61" xfId="0" applyFont="1" applyFill="1" applyBorder="1" applyAlignment="1">
      <alignment horizontal="center" vertical="center"/>
    </xf>
    <xf numFmtId="0" fontId="0" fillId="0" borderId="56" xfId="0" applyBorder="1" applyAlignment="1">
      <alignment horizontal="center" vertical="center"/>
    </xf>
    <xf numFmtId="0" fontId="46" fillId="7" borderId="62" xfId="0" applyFont="1" applyFill="1" applyBorder="1" applyAlignment="1">
      <alignment horizontal="center" vertical="center"/>
    </xf>
    <xf numFmtId="0" fontId="46" fillId="7" borderId="0" xfId="0" applyFont="1" applyFill="1" applyBorder="1" applyAlignment="1">
      <alignment horizontal="center" vertical="center"/>
    </xf>
    <xf numFmtId="0" fontId="46" fillId="7" borderId="63" xfId="0" applyFont="1" applyFill="1" applyBorder="1" applyAlignment="1">
      <alignment horizontal="center" vertical="center"/>
    </xf>
    <xf numFmtId="0" fontId="46" fillId="7" borderId="64" xfId="0" applyFont="1" applyFill="1" applyBorder="1" applyAlignment="1">
      <alignment horizontal="center" vertical="center"/>
    </xf>
    <xf numFmtId="0" fontId="40" fillId="2" borderId="57" xfId="0" applyFont="1" applyFill="1" applyBorder="1" applyAlignment="1" applyProtection="1">
      <alignment horizontal="center" vertical="center" wrapText="1"/>
      <protection locked="0"/>
    </xf>
    <xf numFmtId="0" fontId="40" fillId="2" borderId="59" xfId="0" applyFont="1" applyFill="1" applyBorder="1" applyAlignment="1" applyProtection="1">
      <alignment horizontal="center" vertical="center" wrapText="1"/>
      <protection locked="0"/>
    </xf>
    <xf numFmtId="9" fontId="0" fillId="0" borderId="57" xfId="0" applyNumberFormat="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9" fontId="0" fillId="0" borderId="57" xfId="2" applyFont="1" applyBorder="1" applyAlignment="1">
      <alignment horizontal="center"/>
    </xf>
    <xf numFmtId="9" fontId="0" fillId="0" borderId="59" xfId="2" applyFont="1" applyBorder="1" applyAlignment="1">
      <alignment horizontal="center"/>
    </xf>
    <xf numFmtId="0" fontId="37" fillId="9" borderId="57" xfId="0" applyFont="1" applyFill="1" applyBorder="1" applyAlignment="1">
      <alignment horizontal="left" vertical="center" wrapText="1"/>
    </xf>
    <xf numFmtId="0" fontId="37" fillId="9" borderId="58" xfId="0" applyFont="1" applyFill="1" applyBorder="1" applyAlignment="1">
      <alignment horizontal="left" vertical="center" wrapText="1"/>
    </xf>
    <xf numFmtId="0" fontId="37" fillId="9" borderId="59" xfId="0" applyFont="1" applyFill="1" applyBorder="1" applyAlignment="1">
      <alignment horizontal="left" vertical="center" wrapText="1"/>
    </xf>
    <xf numFmtId="0" fontId="8" fillId="13" borderId="10" xfId="0" applyFont="1" applyFill="1" applyBorder="1" applyAlignment="1" applyProtection="1">
      <alignment horizontal="center" vertical="center" wrapText="1"/>
      <protection locked="0"/>
    </xf>
    <xf numFmtId="0" fontId="13" fillId="13" borderId="33" xfId="0" applyFont="1" applyFill="1" applyBorder="1" applyAlignment="1" applyProtection="1">
      <alignment horizontal="center" vertical="center" wrapText="1"/>
      <protection locked="0"/>
    </xf>
    <xf numFmtId="0" fontId="13" fillId="13" borderId="30" xfId="0" applyFont="1" applyFill="1" applyBorder="1" applyAlignment="1" applyProtection="1">
      <alignment horizontal="center" vertical="center" wrapText="1"/>
      <protection locked="0"/>
    </xf>
    <xf numFmtId="0" fontId="13" fillId="13" borderId="32" xfId="0" applyFont="1" applyFill="1" applyBorder="1" applyAlignment="1" applyProtection="1">
      <alignment horizontal="center" vertical="center" wrapText="1"/>
      <protection locked="0"/>
    </xf>
    <xf numFmtId="0" fontId="8" fillId="13" borderId="25" xfId="0" applyFont="1" applyFill="1" applyBorder="1" applyAlignment="1" applyProtection="1">
      <alignment horizontal="center" vertical="center" wrapText="1"/>
      <protection locked="0"/>
    </xf>
    <xf numFmtId="10" fontId="13" fillId="7" borderId="33" xfId="0" applyNumberFormat="1" applyFont="1" applyFill="1" applyBorder="1" applyAlignment="1" applyProtection="1">
      <alignment horizontal="center" vertical="center" wrapText="1"/>
      <protection locked="0"/>
    </xf>
    <xf numFmtId="0" fontId="13" fillId="7" borderId="32" xfId="0" applyFont="1" applyFill="1" applyBorder="1" applyAlignment="1" applyProtection="1">
      <alignment horizontal="center" vertical="center" wrapText="1"/>
      <protection locked="0"/>
    </xf>
    <xf numFmtId="0" fontId="8" fillId="12" borderId="7" xfId="0" applyFont="1" applyFill="1" applyBorder="1" applyAlignment="1" applyProtection="1">
      <alignment horizontal="justify" vertical="center" wrapText="1"/>
      <protection locked="0"/>
    </xf>
    <xf numFmtId="0" fontId="11" fillId="6" borderId="29" xfId="0" applyFont="1" applyFill="1" applyBorder="1" applyAlignment="1">
      <alignment horizontal="center" vertical="center" wrapText="1"/>
    </xf>
    <xf numFmtId="0" fontId="11" fillId="6" borderId="30" xfId="0" applyFont="1" applyFill="1" applyBorder="1" applyAlignment="1">
      <alignment horizontal="center" vertical="center" wrapText="1"/>
    </xf>
    <xf numFmtId="0" fontId="11" fillId="6" borderId="31" xfId="0" applyFont="1" applyFill="1" applyBorder="1" applyAlignment="1">
      <alignment horizontal="center" vertical="center" wrapText="1"/>
    </xf>
    <xf numFmtId="0" fontId="22" fillId="10" borderId="7" xfId="3" applyFont="1" applyFill="1" applyBorder="1" applyAlignment="1">
      <alignment horizontal="center" vertical="center" wrapText="1"/>
    </xf>
    <xf numFmtId="0" fontId="24" fillId="6" borderId="9"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5" fillId="21" borderId="16" xfId="0" applyFont="1" applyFill="1" applyBorder="1" applyAlignment="1">
      <alignment horizontal="center" vertical="center" wrapText="1"/>
    </xf>
    <xf numFmtId="0" fontId="25" fillId="21" borderId="18"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25" fillId="21" borderId="21" xfId="0" applyFont="1" applyFill="1" applyBorder="1" applyAlignment="1">
      <alignment horizontal="center" vertical="center" wrapText="1"/>
    </xf>
  </cellXfs>
  <cellStyles count="7">
    <cellStyle name="Millares" xfId="1" builtinId="3"/>
    <cellStyle name="Normal" xfId="0" builtinId="0"/>
    <cellStyle name="Normal 12" xfId="4" xr:uid="{00000000-0005-0000-0000-000002000000}"/>
    <cellStyle name="Normal 12 2" xfId="6" xr:uid="{23AB9B4B-48F5-4F56-A081-2D8275AB12D3}"/>
    <cellStyle name="Normal 2" xfId="5" xr:uid="{00000000-0005-0000-0000-000003000000}"/>
    <cellStyle name="Normal 3" xfId="3" xr:uid="{00000000-0005-0000-0000-000004000000}"/>
    <cellStyle name="Porcentaje" xfId="2" builtinId="5"/>
  </cellStyles>
  <dxfs count="60">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s>
  <tableStyles count="0" defaultTableStyle="TableStyleMedium2" defaultPivotStyle="PivotStyleLight16"/>
  <colors>
    <mruColors>
      <color rgb="FF00FFFF"/>
      <color rgb="FFFFCCFF"/>
      <color rgb="FFFFE89F"/>
      <color rgb="FFF4AD7C"/>
      <color rgb="FFFF0066"/>
      <color rgb="FF00FF00"/>
      <color rgb="FF9966FF"/>
      <color rgb="FFFF0000"/>
      <color rgb="FFFF66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Metas Estratégicas</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col"/>
        <c:grouping val="clustered"/>
        <c:varyColors val="0"/>
        <c:ser>
          <c:idx val="0"/>
          <c:order val="0"/>
          <c:tx>
            <c:strRef>
              <c:f>'Resumen de  informe'!$C$11</c:f>
              <c:strCache>
                <c:ptCount val="1"/>
                <c:pt idx="0">
                  <c:v>Metas Estrategicas</c:v>
                </c:pt>
              </c:strCache>
            </c:strRef>
          </c:tx>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'Resumen de  informe'!$B$12:$B$18</c:f>
              <c:strCache>
                <c:ptCount val="7"/>
                <c:pt idx="0">
                  <c:v>Objetivo Estratégico  1</c:v>
                </c:pt>
                <c:pt idx="1">
                  <c:v>Objetivo Estratégico  2</c:v>
                </c:pt>
                <c:pt idx="2">
                  <c:v>Objetivo Estratégico  3</c:v>
                </c:pt>
                <c:pt idx="3">
                  <c:v>Objetivo Estratégico  4</c:v>
                </c:pt>
                <c:pt idx="4">
                  <c:v>Objetivo Estratégico  5</c:v>
                </c:pt>
                <c:pt idx="5">
                  <c:v>Objetivo Estratégico  6</c:v>
                </c:pt>
                <c:pt idx="6">
                  <c:v>Objetivo Estratégico  7</c:v>
                </c:pt>
              </c:strCache>
            </c:strRef>
          </c:cat>
          <c:val>
            <c:numRef>
              <c:f>'Resumen de  informe'!$C$12:$C$18</c:f>
              <c:numCache>
                <c:formatCode>General</c:formatCode>
                <c:ptCount val="7"/>
                <c:pt idx="0">
                  <c:v>1</c:v>
                </c:pt>
                <c:pt idx="1">
                  <c:v>5</c:v>
                </c:pt>
                <c:pt idx="2">
                  <c:v>2</c:v>
                </c:pt>
                <c:pt idx="3">
                  <c:v>3</c:v>
                </c:pt>
                <c:pt idx="4">
                  <c:v>1</c:v>
                </c:pt>
                <c:pt idx="5">
                  <c:v>1</c:v>
                </c:pt>
                <c:pt idx="6">
                  <c:v>1</c:v>
                </c:pt>
              </c:numCache>
            </c:numRef>
          </c:val>
          <c:extLst>
            <c:ext xmlns:c16="http://schemas.microsoft.com/office/drawing/2014/chart" uri="{C3380CC4-5D6E-409C-BE32-E72D297353CC}">
              <c16:uniqueId val="{00000000-73AA-46A0-81D2-17AF6FFD56C2}"/>
            </c:ext>
          </c:extLst>
        </c:ser>
        <c:dLbls>
          <c:dLblPos val="inEnd"/>
          <c:showLegendKey val="0"/>
          <c:showVal val="1"/>
          <c:showCatName val="0"/>
          <c:showSerName val="0"/>
          <c:showPercent val="0"/>
          <c:showBubbleSize val="0"/>
        </c:dLbls>
        <c:gapWidth val="41"/>
        <c:axId val="1658652096"/>
        <c:axId val="1658645024"/>
      </c:barChart>
      <c:catAx>
        <c:axId val="16586520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CO"/>
          </a:p>
        </c:txPr>
        <c:crossAx val="1658645024"/>
        <c:crosses val="autoZero"/>
        <c:auto val="1"/>
        <c:lblAlgn val="ctr"/>
        <c:lblOffset val="100"/>
        <c:noMultiLvlLbl val="0"/>
      </c:catAx>
      <c:valAx>
        <c:axId val="1658645024"/>
        <c:scaling>
          <c:orientation val="minMax"/>
        </c:scaling>
        <c:delete val="1"/>
        <c:axPos val="l"/>
        <c:numFmt formatCode="General" sourceLinked="1"/>
        <c:majorTickMark val="none"/>
        <c:minorTickMark val="none"/>
        <c:tickLblPos val="nextTo"/>
        <c:crossAx val="16586520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608267716535439"/>
          <c:y val="0.23526465441819772"/>
          <c:w val="0.42783486439195101"/>
          <c:h val="0.71305810731991837"/>
        </c:manualLayout>
      </c:layout>
      <c:doughnutChart>
        <c:varyColors val="1"/>
        <c:ser>
          <c:idx val="0"/>
          <c:order val="0"/>
          <c:tx>
            <c:strRef>
              <c:f>'Grado Cumplimiento Objetivos'!$C$2:$C$8</c:f>
              <c:strCache>
                <c:ptCount val="7"/>
                <c:pt idx="0">
                  <c:v>100%</c:v>
                </c:pt>
                <c:pt idx="1">
                  <c:v>90%</c:v>
                </c:pt>
                <c:pt idx="2">
                  <c:v>99%</c:v>
                </c:pt>
                <c:pt idx="3">
                  <c:v>69%</c:v>
                </c:pt>
                <c:pt idx="4">
                  <c:v>112%</c:v>
                </c:pt>
                <c:pt idx="5">
                  <c:v>100%</c:v>
                </c:pt>
                <c:pt idx="6">
                  <c:v>100%</c:v>
                </c:pt>
              </c:strCache>
            </c:strRef>
          </c:tx>
          <c:explosion val="4"/>
          <c:dPt>
            <c:idx val="0"/>
            <c:bubble3D val="0"/>
            <c:spPr>
              <a:solidFill>
                <a:srgbClr val="FFC000"/>
              </a:solidFill>
              <a:ln w="19050">
                <a:solidFill>
                  <a:schemeClr val="lt1"/>
                </a:solidFill>
              </a:ln>
              <a:effectLst/>
            </c:spPr>
            <c:extLst>
              <c:ext xmlns:c16="http://schemas.microsoft.com/office/drawing/2014/chart" uri="{C3380CC4-5D6E-409C-BE32-E72D297353CC}">
                <c16:uniqueId val="{00000004-5F86-4DED-8A2D-F1AB55FC44AF}"/>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919E-4021-A3A5-308A3559A323}"/>
              </c:ext>
            </c:extLst>
          </c:dPt>
          <c:dPt>
            <c:idx val="2"/>
            <c:bubble3D val="0"/>
            <c:spPr>
              <a:solidFill>
                <a:srgbClr val="FF66CC"/>
              </a:solidFill>
              <a:ln w="19050">
                <a:solidFill>
                  <a:schemeClr val="lt1"/>
                </a:solidFill>
              </a:ln>
              <a:effectLst/>
            </c:spPr>
            <c:extLst>
              <c:ext xmlns:c16="http://schemas.microsoft.com/office/drawing/2014/chart" uri="{C3380CC4-5D6E-409C-BE32-E72D297353CC}">
                <c16:uniqueId val="{00000005-919E-4021-A3A5-308A3559A323}"/>
              </c:ext>
            </c:extLst>
          </c:dPt>
          <c:dPt>
            <c:idx val="3"/>
            <c:bubble3D val="0"/>
            <c:spPr>
              <a:solidFill>
                <a:srgbClr val="00FF00"/>
              </a:solidFill>
              <a:ln w="19050">
                <a:solidFill>
                  <a:schemeClr val="lt1"/>
                </a:solidFill>
              </a:ln>
              <a:effectLst/>
            </c:spPr>
            <c:extLst>
              <c:ext xmlns:c16="http://schemas.microsoft.com/office/drawing/2014/chart" uri="{C3380CC4-5D6E-409C-BE32-E72D297353CC}">
                <c16:uniqueId val="{00000002-5F86-4DED-8A2D-F1AB55FC44AF}"/>
              </c:ext>
            </c:extLst>
          </c:dPt>
          <c:dPt>
            <c:idx val="4"/>
            <c:bubble3D val="0"/>
            <c:spPr>
              <a:solidFill>
                <a:srgbClr val="00B0F0"/>
              </a:solidFill>
              <a:ln w="19050">
                <a:solidFill>
                  <a:schemeClr val="lt1"/>
                </a:solidFill>
              </a:ln>
              <a:effectLst/>
            </c:spPr>
            <c:extLst>
              <c:ext xmlns:c16="http://schemas.microsoft.com/office/drawing/2014/chart" uri="{C3380CC4-5D6E-409C-BE32-E72D297353CC}">
                <c16:uniqueId val="{00000003-5F86-4DED-8A2D-F1AB55FC44AF}"/>
              </c:ext>
            </c:extLst>
          </c:dPt>
          <c:dPt>
            <c:idx val="5"/>
            <c:bubble3D val="0"/>
            <c:spPr>
              <a:solidFill>
                <a:srgbClr val="00FFFF"/>
              </a:solidFill>
              <a:ln w="19050">
                <a:solidFill>
                  <a:schemeClr val="lt1"/>
                </a:solidFill>
              </a:ln>
              <a:effectLst/>
            </c:spPr>
            <c:extLst>
              <c:ext xmlns:c16="http://schemas.microsoft.com/office/drawing/2014/chart" uri="{C3380CC4-5D6E-409C-BE32-E72D297353CC}">
                <c16:uniqueId val="{0000000B-919E-4021-A3A5-308A3559A323}"/>
              </c:ext>
            </c:extLst>
          </c:dPt>
          <c:dPt>
            <c:idx val="6"/>
            <c:bubble3D val="0"/>
            <c:spPr>
              <a:solidFill>
                <a:srgbClr val="9966FF"/>
              </a:solidFill>
              <a:ln w="19050">
                <a:solidFill>
                  <a:schemeClr val="lt1"/>
                </a:solidFill>
              </a:ln>
              <a:effectLst/>
            </c:spPr>
            <c:extLst>
              <c:ext xmlns:c16="http://schemas.microsoft.com/office/drawing/2014/chart" uri="{C3380CC4-5D6E-409C-BE32-E72D297353CC}">
                <c16:uniqueId val="{0000000D-919E-4021-A3A5-308A3559A32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'Grado Cumplimiento Objetivos'!$A$2:$A$8</c:f>
              <c:strCache>
                <c:ptCount val="7"/>
                <c:pt idx="0">
                  <c:v>Objetivo Estratégico  1</c:v>
                </c:pt>
                <c:pt idx="1">
                  <c:v>Objetivo Estratégico  2</c:v>
                </c:pt>
                <c:pt idx="2">
                  <c:v>Objetivo Estratégico  3</c:v>
                </c:pt>
                <c:pt idx="3">
                  <c:v>Objetivo Estratégico  4</c:v>
                </c:pt>
                <c:pt idx="4">
                  <c:v>Objetivo Estratégico  5</c:v>
                </c:pt>
                <c:pt idx="5">
                  <c:v>Objetivo Estratégico  6</c:v>
                </c:pt>
                <c:pt idx="6">
                  <c:v>Objetivo Estratégico  7</c:v>
                </c:pt>
              </c:strCache>
            </c:strRef>
          </c:cat>
          <c:val>
            <c:numRef>
              <c:f>'Grado Cumplimiento Objetivos'!$C$2:$C$8</c:f>
              <c:numCache>
                <c:formatCode>0%</c:formatCode>
                <c:ptCount val="7"/>
                <c:pt idx="0">
                  <c:v>1</c:v>
                </c:pt>
                <c:pt idx="1">
                  <c:v>0.9</c:v>
                </c:pt>
                <c:pt idx="2">
                  <c:v>0.99</c:v>
                </c:pt>
                <c:pt idx="3">
                  <c:v>0.69</c:v>
                </c:pt>
                <c:pt idx="4">
                  <c:v>1.1200000000000001</c:v>
                </c:pt>
                <c:pt idx="5">
                  <c:v>1</c:v>
                </c:pt>
                <c:pt idx="6">
                  <c:v>1</c:v>
                </c:pt>
              </c:numCache>
            </c:numRef>
          </c:val>
          <c:extLst>
            <c:ext xmlns:c16="http://schemas.microsoft.com/office/drawing/2014/chart" uri="{C3380CC4-5D6E-409C-BE32-E72D297353CC}">
              <c16:uniqueId val="{00000000-5F86-4DED-8A2D-F1AB55FC44AF}"/>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566768</xdr:colOff>
      <xdr:row>0</xdr:row>
      <xdr:rowOff>92227</xdr:rowOff>
    </xdr:from>
    <xdr:ext cx="1757526" cy="802194"/>
    <xdr:pic>
      <xdr:nvPicPr>
        <xdr:cNvPr id="2" name="Imagen 1">
          <a:extLst>
            <a:ext uri="{FF2B5EF4-FFF2-40B4-BE49-F238E27FC236}">
              <a16:creationId xmlns:a16="http://schemas.microsoft.com/office/drawing/2014/main" id="{F266A953-6481-4C71-B38D-6DD752E20B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6768" y="92227"/>
          <a:ext cx="1757526" cy="80219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685831</xdr:colOff>
      <xdr:row>0</xdr:row>
      <xdr:rowOff>0</xdr:rowOff>
    </xdr:from>
    <xdr:ext cx="1326326" cy="767292"/>
    <xdr:pic>
      <xdr:nvPicPr>
        <xdr:cNvPr id="2" name="Imagen 1">
          <a:extLst>
            <a:ext uri="{FF2B5EF4-FFF2-40B4-BE49-F238E27FC236}">
              <a16:creationId xmlns:a16="http://schemas.microsoft.com/office/drawing/2014/main" id="{CCE92029-D395-4D4D-A779-9CFC6693E9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31" y="0"/>
          <a:ext cx="1326326" cy="76729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685831</xdr:colOff>
      <xdr:row>0</xdr:row>
      <xdr:rowOff>0</xdr:rowOff>
    </xdr:from>
    <xdr:ext cx="1326326" cy="767292"/>
    <xdr:pic>
      <xdr:nvPicPr>
        <xdr:cNvPr id="2" name="Imagen 1">
          <a:extLst>
            <a:ext uri="{FF2B5EF4-FFF2-40B4-BE49-F238E27FC236}">
              <a16:creationId xmlns:a16="http://schemas.microsoft.com/office/drawing/2014/main" id="{07B1EADA-B5F6-4243-B15D-78F90A98C4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31" y="0"/>
          <a:ext cx="1326326" cy="76729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711231</xdr:colOff>
      <xdr:row>0</xdr:row>
      <xdr:rowOff>38100</xdr:rowOff>
    </xdr:from>
    <xdr:ext cx="1326326" cy="605380"/>
    <xdr:pic>
      <xdr:nvPicPr>
        <xdr:cNvPr id="2" name="Imagen 1">
          <a:extLst>
            <a:ext uri="{FF2B5EF4-FFF2-40B4-BE49-F238E27FC236}">
              <a16:creationId xmlns:a16="http://schemas.microsoft.com/office/drawing/2014/main" id="{E17CF7F8-5764-4895-A0F5-E56FD94089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1231" y="38100"/>
          <a:ext cx="1326326" cy="60538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1390650</xdr:colOff>
      <xdr:row>18</xdr:row>
      <xdr:rowOff>157162</xdr:rowOff>
    </xdr:from>
    <xdr:to>
      <xdr:col>2</xdr:col>
      <xdr:colOff>1581151</xdr:colOff>
      <xdr:row>33</xdr:row>
      <xdr:rowOff>38100</xdr:rowOff>
    </xdr:to>
    <xdr:graphicFrame macro="">
      <xdr:nvGraphicFramePr>
        <xdr:cNvPr id="2" name="Gráfico 1">
          <a:extLst>
            <a:ext uri="{FF2B5EF4-FFF2-40B4-BE49-F238E27FC236}">
              <a16:creationId xmlns:a16="http://schemas.microsoft.com/office/drawing/2014/main" id="{C92EB57C-ADC1-49AA-8CC3-6ED9252F15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190499</xdr:colOff>
      <xdr:row>0</xdr:row>
      <xdr:rowOff>304798</xdr:rowOff>
    </xdr:from>
    <xdr:to>
      <xdr:col>15</xdr:col>
      <xdr:colOff>66674</xdr:colOff>
      <xdr:row>5</xdr:row>
      <xdr:rowOff>800100</xdr:rowOff>
    </xdr:to>
    <xdr:graphicFrame macro="">
      <xdr:nvGraphicFramePr>
        <xdr:cNvPr id="3" name="Gráfico 2">
          <a:extLst>
            <a:ext uri="{FF2B5EF4-FFF2-40B4-BE49-F238E27FC236}">
              <a16:creationId xmlns:a16="http://schemas.microsoft.com/office/drawing/2014/main" id="{831C4A8A-9D38-4427-B5FA-0FA4F14603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85725</xdr:colOff>
      <xdr:row>1</xdr:row>
      <xdr:rowOff>342900</xdr:rowOff>
    </xdr:from>
    <xdr:to>
      <xdr:col>14</xdr:col>
      <xdr:colOff>361950</xdr:colOff>
      <xdr:row>1</xdr:row>
      <xdr:rowOff>847725</xdr:rowOff>
    </xdr:to>
    <xdr:sp macro="" textlink="">
      <xdr:nvSpPr>
        <xdr:cNvPr id="7" name="CuadroTexto 6">
          <a:extLst>
            <a:ext uri="{FF2B5EF4-FFF2-40B4-BE49-F238E27FC236}">
              <a16:creationId xmlns:a16="http://schemas.microsoft.com/office/drawing/2014/main" id="{C88D300F-A565-404D-BABB-38BE07B5E48A}"/>
            </a:ext>
          </a:extLst>
        </xdr:cNvPr>
        <xdr:cNvSpPr txBox="1"/>
      </xdr:nvSpPr>
      <xdr:spPr>
        <a:xfrm>
          <a:off x="12315825" y="695325"/>
          <a:ext cx="5610225"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b="1">
              <a:latin typeface="Arial" panose="020B0604020202020204" pitchFamily="34" charset="0"/>
              <a:cs typeface="Arial" panose="020B0604020202020204" pitchFamily="34" charset="0"/>
            </a:rPr>
            <a:t>Grado</a:t>
          </a:r>
          <a:r>
            <a:rPr lang="es-CO" sz="1400" b="1" baseline="0">
              <a:latin typeface="Arial" panose="020B0604020202020204" pitchFamily="34" charset="0"/>
              <a:cs typeface="Arial" panose="020B0604020202020204" pitchFamily="34" charset="0"/>
            </a:rPr>
            <a:t> de Cumplimiento  Objetivos Estratégicos </a:t>
          </a:r>
          <a:endParaRPr lang="es-CO" sz="1400" b="1">
            <a:latin typeface="Arial" panose="020B0604020202020204" pitchFamily="34" charset="0"/>
            <a:cs typeface="Arial" panose="020B0604020202020204" pitchFamily="34" charset="0"/>
          </a:endParaRPr>
        </a:p>
      </xdr:txBody>
    </xdr:sp>
    <xdr:clientData/>
  </xdr:twoCellAnchor>
</xdr:wsDr>
</file>

<file path=xl/drawings/drawing7.xml><?xml version="1.0" encoding="utf-8"?>
<c:userShapes xmlns:c="http://schemas.openxmlformats.org/drawingml/2006/chart">
  <cdr:relSizeAnchor xmlns:cdr="http://schemas.openxmlformats.org/drawingml/2006/chartDrawing">
    <cdr:from>
      <cdr:x>0.19095</cdr:x>
      <cdr:y>0.04762</cdr:y>
    </cdr:from>
    <cdr:to>
      <cdr:x>0.86846</cdr:x>
      <cdr:y>0.17007</cdr:y>
    </cdr:to>
    <cdr:sp macro="" textlink="">
      <cdr:nvSpPr>
        <cdr:cNvPr id="2" name="CuadroTexto 1">
          <a:extLst xmlns:a="http://schemas.openxmlformats.org/drawingml/2006/main">
            <a:ext uri="{FF2B5EF4-FFF2-40B4-BE49-F238E27FC236}">
              <a16:creationId xmlns:a16="http://schemas.microsoft.com/office/drawing/2014/main" id="{F8BDB484-5C4F-4A5D-BCA2-D631553ED9C1}"/>
            </a:ext>
          </a:extLst>
        </cdr:cNvPr>
        <cdr:cNvSpPr txBox="1"/>
      </cdr:nvSpPr>
      <cdr:spPr>
        <a:xfrm xmlns:a="http://schemas.openxmlformats.org/drawingml/2006/main">
          <a:off x="1285876" y="200026"/>
          <a:ext cx="4562475" cy="514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userShapes>
</file>

<file path=xl/drawings/drawing8.xml><?xml version="1.0" encoding="utf-8"?>
<xdr:wsDr xmlns:xdr="http://schemas.openxmlformats.org/drawingml/2006/spreadsheetDrawing" xmlns:a="http://schemas.openxmlformats.org/drawingml/2006/main">
  <xdr:oneCellAnchor>
    <xdr:from>
      <xdr:col>0</xdr:col>
      <xdr:colOff>148598</xdr:colOff>
      <xdr:row>0</xdr:row>
      <xdr:rowOff>103843</xdr:rowOff>
    </xdr:from>
    <xdr:ext cx="1757526" cy="802194"/>
    <xdr:pic>
      <xdr:nvPicPr>
        <xdr:cNvPr id="2" name="Imagen 1">
          <a:extLst>
            <a:ext uri="{FF2B5EF4-FFF2-40B4-BE49-F238E27FC236}">
              <a16:creationId xmlns:a16="http://schemas.microsoft.com/office/drawing/2014/main" id="{B0C65A46-7C86-44CF-BB00-302AD66692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598" y="103843"/>
          <a:ext cx="1757526" cy="802194"/>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AY27"/>
  <sheetViews>
    <sheetView topLeftCell="A25" zoomScale="87" zoomScaleNormal="87" workbookViewId="0">
      <selection activeCell="AY1" sqref="AY1:AZ3"/>
    </sheetView>
  </sheetViews>
  <sheetFormatPr baseColWidth="10" defaultColWidth="22.42578125" defaultRowHeight="11.25" x14ac:dyDescent="0.2"/>
  <cols>
    <col min="1" max="1" width="14.42578125" style="1" customWidth="1"/>
    <col min="2" max="2" width="31.7109375" style="1" customWidth="1"/>
    <col min="3" max="3" width="26.7109375" style="4" customWidth="1"/>
    <col min="4" max="4" width="6.42578125" style="1" hidden="1" customWidth="1"/>
    <col min="5" max="10" width="5.42578125" style="1" hidden="1" customWidth="1"/>
    <col min="11" max="11" width="8.42578125" style="1" hidden="1" customWidth="1"/>
    <col min="12" max="12" width="6.5703125" style="1" hidden="1" customWidth="1"/>
    <col min="13" max="13" width="7.28515625" style="1" hidden="1" customWidth="1"/>
    <col min="14" max="14" width="7.140625" style="1" hidden="1" customWidth="1"/>
    <col min="15" max="15" width="5.7109375" style="1" hidden="1" customWidth="1"/>
    <col min="16" max="16" width="8.28515625" style="1" hidden="1" customWidth="1"/>
    <col min="17" max="17" width="5.42578125" style="1" hidden="1" customWidth="1"/>
    <col min="18" max="18" width="7.140625" style="1" hidden="1" customWidth="1"/>
    <col min="19" max="19" width="7.7109375" style="1" hidden="1" customWidth="1"/>
    <col min="20" max="20" width="5.7109375" style="1" hidden="1" customWidth="1"/>
    <col min="21" max="21" width="5.42578125" style="1" hidden="1" customWidth="1"/>
    <col min="22" max="22" width="4.5703125" style="1" hidden="1" customWidth="1"/>
    <col min="23" max="23" width="5.42578125" style="1" hidden="1" customWidth="1"/>
    <col min="24" max="24" width="4.5703125" style="1" hidden="1" customWidth="1"/>
    <col min="25" max="25" width="5.42578125" style="1" hidden="1" customWidth="1"/>
    <col min="26" max="26" width="4.5703125" style="1" hidden="1" customWidth="1"/>
    <col min="27" max="27" width="7.5703125" style="1" hidden="1" customWidth="1"/>
    <col min="28" max="28" width="4.5703125" style="1" hidden="1" customWidth="1"/>
    <col min="29" max="29" width="5.42578125" style="1" hidden="1" customWidth="1"/>
    <col min="30" max="30" width="4.5703125" style="1" hidden="1" customWidth="1"/>
    <col min="31" max="31" width="5.42578125" style="1" hidden="1" customWidth="1"/>
    <col min="32" max="32" width="4.5703125" style="1" hidden="1" customWidth="1"/>
    <col min="33" max="33" width="5.42578125" style="1" hidden="1" customWidth="1"/>
    <col min="34" max="34" width="6.7109375" style="1" hidden="1" customWidth="1"/>
    <col min="35" max="35" width="5.28515625" style="1" hidden="1" customWidth="1"/>
    <col min="36" max="36" width="3.85546875" style="1" hidden="1" customWidth="1"/>
    <col min="37" max="42" width="5" style="1" hidden="1" customWidth="1"/>
    <col min="43" max="43" width="9.28515625" style="1" hidden="1" customWidth="1"/>
    <col min="44" max="44" width="10.140625" style="1" hidden="1" customWidth="1"/>
    <col min="45" max="46" width="7.5703125" style="1" hidden="1" customWidth="1"/>
    <col min="47" max="48" width="7.42578125" style="1" hidden="1" customWidth="1"/>
    <col min="49" max="49" width="10.42578125" style="1" hidden="1" customWidth="1"/>
    <col min="50" max="50" width="29.85546875" style="1" customWidth="1"/>
    <col min="51" max="16384" width="22.42578125" style="1"/>
  </cols>
  <sheetData>
    <row r="1" spans="1:51" ht="21" customHeight="1" x14ac:dyDescent="0.2">
      <c r="A1" s="615"/>
      <c r="B1" s="615"/>
      <c r="C1" s="618" t="s">
        <v>130</v>
      </c>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618"/>
      <c r="AK1" s="618"/>
      <c r="AL1" s="618"/>
      <c r="AM1" s="618"/>
      <c r="AN1" s="618"/>
      <c r="AO1" s="618"/>
      <c r="AP1" s="618"/>
      <c r="AQ1" s="618"/>
      <c r="AR1" s="618"/>
      <c r="AY1" s="112" t="s">
        <v>141</v>
      </c>
    </row>
    <row r="2" spans="1:51" ht="27" customHeight="1" x14ac:dyDescent="0.2">
      <c r="A2" s="616"/>
      <c r="B2" s="616"/>
      <c r="C2" s="619"/>
      <c r="D2" s="619"/>
      <c r="E2" s="619"/>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c r="AE2" s="619"/>
      <c r="AF2" s="619"/>
      <c r="AG2" s="619"/>
      <c r="AH2" s="619"/>
      <c r="AI2" s="619"/>
      <c r="AJ2" s="619"/>
      <c r="AK2" s="619"/>
      <c r="AL2" s="619"/>
      <c r="AM2" s="619"/>
      <c r="AN2" s="619"/>
      <c r="AO2" s="619"/>
      <c r="AP2" s="619"/>
      <c r="AQ2" s="619"/>
      <c r="AR2" s="619"/>
      <c r="AY2" s="112" t="s">
        <v>143</v>
      </c>
    </row>
    <row r="3" spans="1:51" ht="34.5" customHeight="1" thickBot="1" x14ac:dyDescent="0.25">
      <c r="A3" s="617"/>
      <c r="B3" s="617"/>
      <c r="C3" s="620"/>
      <c r="D3" s="620"/>
      <c r="E3" s="620"/>
      <c r="F3" s="620"/>
      <c r="G3" s="620"/>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0"/>
      <c r="AH3" s="620"/>
      <c r="AI3" s="620"/>
      <c r="AJ3" s="620"/>
      <c r="AK3" s="620"/>
      <c r="AL3" s="620"/>
      <c r="AM3" s="620"/>
      <c r="AN3" s="620"/>
      <c r="AO3" s="620"/>
      <c r="AP3" s="620"/>
      <c r="AQ3" s="620"/>
      <c r="AR3" s="620"/>
      <c r="AY3" s="112" t="s">
        <v>142</v>
      </c>
    </row>
    <row r="4" spans="1:51" ht="12" customHeight="1" thickBot="1" x14ac:dyDescent="0.25">
      <c r="A4" s="2"/>
      <c r="B4" s="2"/>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6"/>
      <c r="AR4" s="6"/>
      <c r="AS4" s="6"/>
      <c r="AT4" s="6"/>
      <c r="AU4" s="6"/>
      <c r="AV4" s="6"/>
      <c r="AW4" s="6"/>
    </row>
    <row r="5" spans="1:51" ht="22.5" customHeight="1" x14ac:dyDescent="0.2">
      <c r="A5" s="621" t="s">
        <v>51</v>
      </c>
      <c r="B5" s="592" t="s">
        <v>17</v>
      </c>
      <c r="C5" s="592" t="s">
        <v>18</v>
      </c>
      <c r="D5" s="623"/>
      <c r="E5" s="594" t="s">
        <v>147</v>
      </c>
      <c r="F5" s="595"/>
      <c r="G5" s="595"/>
      <c r="H5" s="595"/>
      <c r="I5" s="595"/>
      <c r="J5" s="595"/>
      <c r="K5" s="595"/>
      <c r="L5" s="595"/>
      <c r="M5" s="595"/>
      <c r="N5" s="596"/>
      <c r="O5" s="118"/>
      <c r="P5" s="118"/>
      <c r="Q5" s="118"/>
      <c r="R5" s="118"/>
      <c r="S5" s="118"/>
      <c r="T5" s="118"/>
      <c r="U5" s="118"/>
      <c r="V5" s="118"/>
      <c r="W5" s="118"/>
      <c r="X5" s="118"/>
      <c r="Y5" s="118"/>
      <c r="Z5" s="118"/>
      <c r="AA5" s="118"/>
      <c r="AB5" s="118"/>
      <c r="AC5" s="118"/>
      <c r="AD5" s="118"/>
      <c r="AE5" s="118"/>
      <c r="AF5" s="118"/>
      <c r="AG5" s="118"/>
      <c r="AH5" s="118"/>
      <c r="AI5" s="118"/>
      <c r="AJ5" s="118"/>
      <c r="AK5" s="597"/>
      <c r="AL5" s="598"/>
      <c r="AM5" s="598"/>
      <c r="AN5" s="598"/>
      <c r="AO5" s="598"/>
      <c r="AP5" s="599"/>
      <c r="AQ5" s="600">
        <v>2021</v>
      </c>
      <c r="AR5" s="600"/>
      <c r="AS5" s="602" t="s">
        <v>9</v>
      </c>
      <c r="AT5" s="603"/>
      <c r="AU5" s="603"/>
      <c r="AV5" s="604"/>
      <c r="AW5" s="600" t="s">
        <v>8</v>
      </c>
      <c r="AX5" s="608" t="s">
        <v>134</v>
      </c>
      <c r="AY5" s="592" t="s">
        <v>186</v>
      </c>
    </row>
    <row r="6" spans="1:51" ht="18" customHeight="1" x14ac:dyDescent="0.2">
      <c r="A6" s="622"/>
      <c r="B6" s="593"/>
      <c r="C6" s="593"/>
      <c r="D6" s="624"/>
      <c r="E6" s="610" t="s">
        <v>110</v>
      </c>
      <c r="F6" s="611"/>
      <c r="G6" s="610" t="s">
        <v>111</v>
      </c>
      <c r="H6" s="611"/>
      <c r="I6" s="610" t="s">
        <v>112</v>
      </c>
      <c r="J6" s="611"/>
      <c r="K6" s="627" t="s">
        <v>13</v>
      </c>
      <c r="L6" s="628"/>
      <c r="M6" s="610" t="s">
        <v>113</v>
      </c>
      <c r="N6" s="611"/>
      <c r="O6" s="610" t="s">
        <v>114</v>
      </c>
      <c r="P6" s="611"/>
      <c r="Q6" s="610" t="s">
        <v>115</v>
      </c>
      <c r="R6" s="611"/>
      <c r="S6" s="625" t="s">
        <v>12</v>
      </c>
      <c r="T6" s="626"/>
      <c r="U6" s="610" t="s">
        <v>116</v>
      </c>
      <c r="V6" s="611"/>
      <c r="W6" s="610" t="s">
        <v>117</v>
      </c>
      <c r="X6" s="611"/>
      <c r="Y6" s="610" t="s">
        <v>118</v>
      </c>
      <c r="Z6" s="611"/>
      <c r="AA6" s="612" t="s">
        <v>11</v>
      </c>
      <c r="AB6" s="612"/>
      <c r="AC6" s="613" t="s">
        <v>119</v>
      </c>
      <c r="AD6" s="613"/>
      <c r="AE6" s="613" t="s">
        <v>120</v>
      </c>
      <c r="AF6" s="613"/>
      <c r="AG6" s="613" t="s">
        <v>121</v>
      </c>
      <c r="AH6" s="613"/>
      <c r="AI6" s="612" t="s">
        <v>10</v>
      </c>
      <c r="AJ6" s="612"/>
      <c r="AK6" s="614">
        <v>2022</v>
      </c>
      <c r="AL6" s="614"/>
      <c r="AM6" s="614">
        <v>2023</v>
      </c>
      <c r="AN6" s="614"/>
      <c r="AO6" s="614">
        <v>2024</v>
      </c>
      <c r="AP6" s="614"/>
      <c r="AQ6" s="601"/>
      <c r="AR6" s="601"/>
      <c r="AS6" s="605"/>
      <c r="AT6" s="606"/>
      <c r="AU6" s="606"/>
      <c r="AV6" s="607"/>
      <c r="AW6" s="601"/>
      <c r="AX6" s="609"/>
      <c r="AY6" s="593"/>
    </row>
    <row r="7" spans="1:51" s="3" customFormat="1" ht="26.25" customHeight="1" x14ac:dyDescent="0.25">
      <c r="A7" s="622"/>
      <c r="B7" s="593"/>
      <c r="C7" s="593"/>
      <c r="D7" s="7" t="s">
        <v>6</v>
      </c>
      <c r="E7" s="9" t="s">
        <v>7</v>
      </c>
      <c r="F7" s="146" t="s">
        <v>6</v>
      </c>
      <c r="G7" s="9" t="s">
        <v>7</v>
      </c>
      <c r="H7" s="146" t="s">
        <v>6</v>
      </c>
      <c r="I7" s="9" t="s">
        <v>7</v>
      </c>
      <c r="J7" s="146" t="s">
        <v>6</v>
      </c>
      <c r="K7" s="82" t="s">
        <v>7</v>
      </c>
      <c r="L7" s="148" t="s">
        <v>6</v>
      </c>
      <c r="M7" s="9" t="s">
        <v>7</v>
      </c>
      <c r="N7" s="146" t="s">
        <v>6</v>
      </c>
      <c r="O7" s="9" t="s">
        <v>7</v>
      </c>
      <c r="P7" s="146" t="s">
        <v>6</v>
      </c>
      <c r="Q7" s="9" t="s">
        <v>7</v>
      </c>
      <c r="R7" s="146" t="s">
        <v>6</v>
      </c>
      <c r="S7" s="83" t="s">
        <v>7</v>
      </c>
      <c r="T7" s="145" t="s">
        <v>6</v>
      </c>
      <c r="U7" s="9" t="s">
        <v>7</v>
      </c>
      <c r="V7" s="146" t="s">
        <v>6</v>
      </c>
      <c r="W7" s="9" t="s">
        <v>7</v>
      </c>
      <c r="X7" s="146" t="s">
        <v>6</v>
      </c>
      <c r="Y7" s="9" t="s">
        <v>7</v>
      </c>
      <c r="Z7" s="146" t="s">
        <v>6</v>
      </c>
      <c r="AA7" s="83" t="s">
        <v>7</v>
      </c>
      <c r="AB7" s="145" t="s">
        <v>6</v>
      </c>
      <c r="AC7" s="9" t="s">
        <v>7</v>
      </c>
      <c r="AD7" s="146" t="s">
        <v>6</v>
      </c>
      <c r="AE7" s="9" t="s">
        <v>7</v>
      </c>
      <c r="AF7" s="146" t="s">
        <v>6</v>
      </c>
      <c r="AG7" s="9" t="s">
        <v>7</v>
      </c>
      <c r="AH7" s="146" t="s">
        <v>6</v>
      </c>
      <c r="AI7" s="83" t="s">
        <v>7</v>
      </c>
      <c r="AJ7" s="145" t="s">
        <v>6</v>
      </c>
      <c r="AK7" s="8" t="s">
        <v>7</v>
      </c>
      <c r="AL7" s="8" t="s">
        <v>6</v>
      </c>
      <c r="AM7" s="8" t="s">
        <v>7</v>
      </c>
      <c r="AN7" s="8" t="s">
        <v>6</v>
      </c>
      <c r="AO7" s="8" t="s">
        <v>7</v>
      </c>
      <c r="AP7" s="8" t="s">
        <v>6</v>
      </c>
      <c r="AQ7" s="147" t="s">
        <v>7</v>
      </c>
      <c r="AR7" s="147" t="s">
        <v>6</v>
      </c>
      <c r="AS7" s="147" t="s">
        <v>5</v>
      </c>
      <c r="AT7" s="147" t="s">
        <v>4</v>
      </c>
      <c r="AU7" s="147" t="s">
        <v>3</v>
      </c>
      <c r="AV7" s="147" t="s">
        <v>2</v>
      </c>
      <c r="AW7" s="601"/>
      <c r="AX7" s="609"/>
      <c r="AY7" s="593"/>
    </row>
    <row r="8" spans="1:51" ht="99.75" customHeight="1" x14ac:dyDescent="0.2">
      <c r="A8" s="579" t="s">
        <v>45</v>
      </c>
      <c r="B8" s="581" t="s">
        <v>19</v>
      </c>
      <c r="C8" s="11" t="s">
        <v>20</v>
      </c>
      <c r="D8" s="12">
        <v>1</v>
      </c>
      <c r="E8" s="15">
        <v>0.08</v>
      </c>
      <c r="F8" s="16">
        <v>0.08</v>
      </c>
      <c r="G8" s="15">
        <v>0.08</v>
      </c>
      <c r="H8" s="16">
        <v>0.08</v>
      </c>
      <c r="I8" s="15">
        <v>0.08</v>
      </c>
      <c r="J8" s="16">
        <v>0.08</v>
      </c>
      <c r="K8" s="17">
        <f t="shared" ref="K8:L22" si="0">SUM(E8,G8,I8)</f>
        <v>0.24</v>
      </c>
      <c r="L8" s="17">
        <f t="shared" si="0"/>
        <v>0.24</v>
      </c>
      <c r="M8" s="15">
        <v>0.09</v>
      </c>
      <c r="N8" s="16">
        <v>0.09</v>
      </c>
      <c r="O8" s="15">
        <v>0.1</v>
      </c>
      <c r="P8" s="16">
        <v>0.1</v>
      </c>
      <c r="Q8" s="15">
        <v>0.08</v>
      </c>
      <c r="R8" s="16">
        <v>0.08</v>
      </c>
      <c r="S8" s="17">
        <f t="shared" ref="S8:T22" si="1">SUM(M8,O8,Q8)</f>
        <v>0.27</v>
      </c>
      <c r="T8" s="17">
        <f t="shared" si="1"/>
        <v>0.27</v>
      </c>
      <c r="U8" s="15">
        <v>0.08</v>
      </c>
      <c r="V8" s="18"/>
      <c r="W8" s="15">
        <v>0.08</v>
      </c>
      <c r="X8" s="18"/>
      <c r="Y8" s="15">
        <v>0.09</v>
      </c>
      <c r="Z8" s="19"/>
      <c r="AA8" s="17">
        <f t="shared" ref="AA8:AA22" si="2">SUM(U8,W8,Y8)</f>
        <v>0.25</v>
      </c>
      <c r="AB8" s="17">
        <f t="shared" ref="AB8:AB22" si="3">SUM(V8,X8,Z8)</f>
        <v>0</v>
      </c>
      <c r="AC8" s="15">
        <v>0.08</v>
      </c>
      <c r="AD8" s="18"/>
      <c r="AE8" s="15">
        <v>0.08</v>
      </c>
      <c r="AF8" s="18"/>
      <c r="AG8" s="15">
        <v>0.08</v>
      </c>
      <c r="AH8" s="19"/>
      <c r="AI8" s="17">
        <f t="shared" ref="AI8:AJ22" si="4">SUM(AC8,AE8,AG8)</f>
        <v>0.24</v>
      </c>
      <c r="AJ8" s="17">
        <f t="shared" si="4"/>
        <v>0</v>
      </c>
      <c r="AK8" s="20">
        <v>1</v>
      </c>
      <c r="AL8" s="20"/>
      <c r="AM8" s="20">
        <v>1</v>
      </c>
      <c r="AN8" s="20"/>
      <c r="AO8" s="20">
        <v>1</v>
      </c>
      <c r="AP8" s="20"/>
      <c r="AQ8" s="21">
        <f t="shared" ref="AQ8:AQ22" si="5">SUM(K8,S8,AA8,AI8)</f>
        <v>1</v>
      </c>
      <c r="AR8" s="21">
        <f t="shared" ref="AR8:AR22" si="6">SUM(L8,T8,AB8,AJ8)</f>
        <v>0.51</v>
      </c>
      <c r="AS8" s="22">
        <f t="shared" ref="AS8:AS27" si="7">IFERROR(L8/K8,"")</f>
        <v>1</v>
      </c>
      <c r="AT8" s="22">
        <f t="shared" ref="AT8:AT22" si="8">IFERROR((L8+T8)/(K8+S8),"")</f>
        <v>1</v>
      </c>
      <c r="AU8" s="22">
        <f t="shared" ref="AU8:AU22" si="9">IFERROR((L8+T8+AB8)/(K8+S8+AA8),"")</f>
        <v>0.67105263157894735</v>
      </c>
      <c r="AV8" s="22">
        <f t="shared" ref="AV8:AV22" si="10">IFERROR((L8+T8+AB8+AJ8)/(K8+S8+AA8+AI8),"")</f>
        <v>0.51</v>
      </c>
      <c r="AW8" s="85">
        <f t="shared" ref="AW8:AW13" si="11">IFERROR(AR8/AQ8,"")</f>
        <v>0.51</v>
      </c>
      <c r="AX8" s="144" t="s">
        <v>177</v>
      </c>
      <c r="AY8" s="583">
        <f>AVERAGE(AW8:AW9)</f>
        <v>0.255</v>
      </c>
    </row>
    <row r="9" spans="1:51" ht="99" customHeight="1" x14ac:dyDescent="0.2">
      <c r="A9" s="580"/>
      <c r="B9" s="582"/>
      <c r="C9" s="11" t="s">
        <v>144</v>
      </c>
      <c r="D9" s="12">
        <v>0</v>
      </c>
      <c r="E9" s="15">
        <v>0</v>
      </c>
      <c r="F9" s="16">
        <v>0</v>
      </c>
      <c r="G9" s="15">
        <v>0</v>
      </c>
      <c r="H9" s="16">
        <v>0</v>
      </c>
      <c r="I9" s="15">
        <v>0</v>
      </c>
      <c r="J9" s="16">
        <v>0</v>
      </c>
      <c r="K9" s="17">
        <f t="shared" si="0"/>
        <v>0</v>
      </c>
      <c r="L9" s="17">
        <f t="shared" si="0"/>
        <v>0</v>
      </c>
      <c r="M9" s="15">
        <v>0</v>
      </c>
      <c r="N9" s="16">
        <v>0</v>
      </c>
      <c r="O9" s="15">
        <v>0</v>
      </c>
      <c r="P9" s="16"/>
      <c r="Q9" s="15">
        <v>0.05</v>
      </c>
      <c r="R9" s="16"/>
      <c r="S9" s="17">
        <f t="shared" si="1"/>
        <v>0.05</v>
      </c>
      <c r="T9" s="17">
        <f t="shared" si="1"/>
        <v>0</v>
      </c>
      <c r="U9" s="15">
        <v>0.15</v>
      </c>
      <c r="V9" s="18"/>
      <c r="W9" s="15">
        <v>0.2</v>
      </c>
      <c r="X9" s="18"/>
      <c r="Y9" s="15">
        <v>0.25</v>
      </c>
      <c r="Z9" s="19"/>
      <c r="AA9" s="17">
        <f t="shared" si="2"/>
        <v>0.6</v>
      </c>
      <c r="AB9" s="17">
        <f t="shared" si="3"/>
        <v>0</v>
      </c>
      <c r="AC9" s="15">
        <v>0.2</v>
      </c>
      <c r="AD9" s="18"/>
      <c r="AE9" s="15">
        <v>0.15</v>
      </c>
      <c r="AF9" s="18"/>
      <c r="AG9" s="15">
        <v>0</v>
      </c>
      <c r="AH9" s="19"/>
      <c r="AI9" s="17">
        <f t="shared" si="4"/>
        <v>0.35</v>
      </c>
      <c r="AJ9" s="17">
        <f t="shared" si="4"/>
        <v>0</v>
      </c>
      <c r="AK9" s="20">
        <v>1</v>
      </c>
      <c r="AL9" s="20"/>
      <c r="AM9" s="20">
        <v>1</v>
      </c>
      <c r="AN9" s="20"/>
      <c r="AO9" s="20">
        <v>1</v>
      </c>
      <c r="AP9" s="20"/>
      <c r="AQ9" s="21">
        <f t="shared" si="5"/>
        <v>1</v>
      </c>
      <c r="AR9" s="21">
        <f t="shared" si="6"/>
        <v>0</v>
      </c>
      <c r="AS9" s="22" t="str">
        <f t="shared" si="7"/>
        <v/>
      </c>
      <c r="AT9" s="22">
        <f t="shared" si="8"/>
        <v>0</v>
      </c>
      <c r="AU9" s="22">
        <f t="shared" si="9"/>
        <v>0</v>
      </c>
      <c r="AV9" s="22">
        <f t="shared" si="10"/>
        <v>0</v>
      </c>
      <c r="AW9" s="84">
        <f t="shared" si="11"/>
        <v>0</v>
      </c>
      <c r="AX9" s="144" t="s">
        <v>145</v>
      </c>
      <c r="AY9" s="584"/>
    </row>
    <row r="10" spans="1:51" ht="201.75" customHeight="1" x14ac:dyDescent="0.2">
      <c r="A10" s="585" t="s">
        <v>46</v>
      </c>
      <c r="B10" s="586" t="s">
        <v>21</v>
      </c>
      <c r="C10" s="586" t="s">
        <v>22</v>
      </c>
      <c r="D10" s="24">
        <v>1</v>
      </c>
      <c r="E10" s="20">
        <v>0</v>
      </c>
      <c r="F10" s="20">
        <v>0</v>
      </c>
      <c r="G10" s="20">
        <v>0</v>
      </c>
      <c r="H10" s="20">
        <v>0</v>
      </c>
      <c r="I10" s="20">
        <v>0</v>
      </c>
      <c r="J10" s="20">
        <v>0</v>
      </c>
      <c r="K10" s="17">
        <f t="shared" si="0"/>
        <v>0</v>
      </c>
      <c r="L10" s="17">
        <f t="shared" si="0"/>
        <v>0</v>
      </c>
      <c r="M10" s="20">
        <v>0</v>
      </c>
      <c r="N10" s="20">
        <v>0</v>
      </c>
      <c r="O10" s="27">
        <v>0.125</v>
      </c>
      <c r="P10" s="20">
        <v>0</v>
      </c>
      <c r="Q10" s="27">
        <v>0.125</v>
      </c>
      <c r="R10" s="20">
        <v>0</v>
      </c>
      <c r="S10" s="17">
        <f t="shared" si="1"/>
        <v>0.25</v>
      </c>
      <c r="T10" s="17">
        <f t="shared" si="1"/>
        <v>0</v>
      </c>
      <c r="U10" s="27">
        <v>0.125</v>
      </c>
      <c r="V10" s="27"/>
      <c r="W10" s="27">
        <v>0.125</v>
      </c>
      <c r="X10" s="27"/>
      <c r="Y10" s="27">
        <v>0.125</v>
      </c>
      <c r="Z10" s="20"/>
      <c r="AA10" s="17">
        <f t="shared" si="2"/>
        <v>0.375</v>
      </c>
      <c r="AB10" s="17">
        <f t="shared" si="3"/>
        <v>0</v>
      </c>
      <c r="AC10" s="27">
        <v>0.125</v>
      </c>
      <c r="AD10" s="27"/>
      <c r="AE10" s="27">
        <v>0.125</v>
      </c>
      <c r="AF10" s="27"/>
      <c r="AG10" s="27">
        <v>0.125</v>
      </c>
      <c r="AH10" s="20"/>
      <c r="AI10" s="17">
        <f t="shared" si="4"/>
        <v>0.375</v>
      </c>
      <c r="AJ10" s="17">
        <f t="shared" si="4"/>
        <v>0</v>
      </c>
      <c r="AK10" s="28">
        <v>100</v>
      </c>
      <c r="AL10" s="28"/>
      <c r="AM10" s="28">
        <v>100</v>
      </c>
      <c r="AN10" s="28"/>
      <c r="AO10" s="28">
        <v>100</v>
      </c>
      <c r="AP10" s="28"/>
      <c r="AQ10" s="21">
        <f t="shared" si="5"/>
        <v>1</v>
      </c>
      <c r="AR10" s="21">
        <f t="shared" si="6"/>
        <v>0</v>
      </c>
      <c r="AS10" s="22" t="str">
        <f t="shared" si="7"/>
        <v/>
      </c>
      <c r="AT10" s="22">
        <f t="shared" si="8"/>
        <v>0</v>
      </c>
      <c r="AU10" s="22">
        <f t="shared" si="9"/>
        <v>0</v>
      </c>
      <c r="AV10" s="22">
        <f t="shared" si="10"/>
        <v>0</v>
      </c>
      <c r="AW10" s="84">
        <f t="shared" si="11"/>
        <v>0</v>
      </c>
      <c r="AX10" s="109" t="s">
        <v>160</v>
      </c>
      <c r="AY10" s="589">
        <f>AVERAGE(AW10:AW15)</f>
        <v>0.54166666666666663</v>
      </c>
    </row>
    <row r="11" spans="1:51" ht="156.75" customHeight="1" x14ac:dyDescent="0.2">
      <c r="A11" s="585"/>
      <c r="B11" s="587"/>
      <c r="C11" s="588"/>
      <c r="D11" s="24">
        <v>1</v>
      </c>
      <c r="E11" s="20">
        <v>0</v>
      </c>
      <c r="F11" s="20">
        <v>0</v>
      </c>
      <c r="G11" s="20">
        <v>0</v>
      </c>
      <c r="H11" s="20">
        <v>0</v>
      </c>
      <c r="I11" s="20">
        <v>0.05</v>
      </c>
      <c r="J11" s="20">
        <v>0.05</v>
      </c>
      <c r="K11" s="17">
        <f t="shared" si="0"/>
        <v>0.05</v>
      </c>
      <c r="L11" s="17">
        <f t="shared" si="0"/>
        <v>0.05</v>
      </c>
      <c r="M11" s="20">
        <v>0.05</v>
      </c>
      <c r="N11" s="20">
        <v>0.05</v>
      </c>
      <c r="O11" s="20">
        <v>0.1</v>
      </c>
      <c r="P11" s="20">
        <v>0.1</v>
      </c>
      <c r="Q11" s="20">
        <v>0.1</v>
      </c>
      <c r="R11" s="20">
        <v>0.1</v>
      </c>
      <c r="S11" s="17">
        <f t="shared" si="1"/>
        <v>0.25</v>
      </c>
      <c r="T11" s="17">
        <f t="shared" si="1"/>
        <v>0.25</v>
      </c>
      <c r="U11" s="20">
        <v>0.1</v>
      </c>
      <c r="V11" s="20"/>
      <c r="W11" s="20">
        <v>0.1</v>
      </c>
      <c r="X11" s="20"/>
      <c r="Y11" s="20">
        <v>0.1</v>
      </c>
      <c r="Z11" s="20"/>
      <c r="AA11" s="17">
        <f t="shared" si="2"/>
        <v>0.30000000000000004</v>
      </c>
      <c r="AB11" s="17">
        <f t="shared" si="3"/>
        <v>0</v>
      </c>
      <c r="AC11" s="20">
        <v>0.1</v>
      </c>
      <c r="AD11" s="20"/>
      <c r="AE11" s="20">
        <v>0.2</v>
      </c>
      <c r="AF11" s="20"/>
      <c r="AG11" s="20">
        <v>0.1</v>
      </c>
      <c r="AH11" s="20"/>
      <c r="AI11" s="17">
        <f t="shared" si="4"/>
        <v>0.4</v>
      </c>
      <c r="AJ11" s="17">
        <f t="shared" si="4"/>
        <v>0</v>
      </c>
      <c r="AK11" s="28">
        <v>100</v>
      </c>
      <c r="AL11" s="28"/>
      <c r="AM11" s="28">
        <v>100</v>
      </c>
      <c r="AN11" s="28"/>
      <c r="AO11" s="28">
        <v>100</v>
      </c>
      <c r="AP11" s="28"/>
      <c r="AQ11" s="21">
        <f t="shared" si="5"/>
        <v>1</v>
      </c>
      <c r="AR11" s="21">
        <f t="shared" si="6"/>
        <v>0.3</v>
      </c>
      <c r="AS11" s="22">
        <f t="shared" si="7"/>
        <v>1</v>
      </c>
      <c r="AT11" s="22">
        <f t="shared" si="8"/>
        <v>1</v>
      </c>
      <c r="AU11" s="22">
        <f t="shared" si="9"/>
        <v>0.49999999999999989</v>
      </c>
      <c r="AV11" s="22">
        <f t="shared" si="10"/>
        <v>0.3</v>
      </c>
      <c r="AW11" s="84">
        <f t="shared" si="11"/>
        <v>0.3</v>
      </c>
      <c r="AX11" s="109" t="s">
        <v>161</v>
      </c>
      <c r="AY11" s="590"/>
    </row>
    <row r="12" spans="1:51" ht="198" x14ac:dyDescent="0.2">
      <c r="A12" s="585"/>
      <c r="B12" s="587"/>
      <c r="C12" s="23" t="s">
        <v>23</v>
      </c>
      <c r="D12" s="24">
        <v>0</v>
      </c>
      <c r="E12" s="20">
        <v>0</v>
      </c>
      <c r="F12" s="20">
        <v>0</v>
      </c>
      <c r="G12" s="20">
        <v>0</v>
      </c>
      <c r="H12" s="20">
        <v>0</v>
      </c>
      <c r="I12" s="20">
        <v>0</v>
      </c>
      <c r="J12" s="20">
        <v>0</v>
      </c>
      <c r="K12" s="30">
        <f t="shared" si="0"/>
        <v>0</v>
      </c>
      <c r="L12" s="30">
        <f t="shared" si="0"/>
        <v>0</v>
      </c>
      <c r="M12" s="20">
        <v>0</v>
      </c>
      <c r="N12" s="20">
        <v>0</v>
      </c>
      <c r="O12" s="20">
        <v>0.1</v>
      </c>
      <c r="P12" s="20">
        <v>0.1</v>
      </c>
      <c r="Q12" s="20">
        <v>0.1</v>
      </c>
      <c r="R12" s="20">
        <v>0.1</v>
      </c>
      <c r="S12" s="17">
        <f t="shared" si="1"/>
        <v>0.2</v>
      </c>
      <c r="T12" s="17">
        <f t="shared" si="1"/>
        <v>0.2</v>
      </c>
      <c r="U12" s="20">
        <v>0.2</v>
      </c>
      <c r="V12" s="20"/>
      <c r="W12" s="20">
        <v>0.2</v>
      </c>
      <c r="X12" s="20"/>
      <c r="Y12" s="20">
        <v>0.2</v>
      </c>
      <c r="Z12" s="20"/>
      <c r="AA12" s="17">
        <f t="shared" si="2"/>
        <v>0.60000000000000009</v>
      </c>
      <c r="AB12" s="17">
        <f t="shared" si="3"/>
        <v>0</v>
      </c>
      <c r="AC12" s="20">
        <v>0.2</v>
      </c>
      <c r="AD12" s="20"/>
      <c r="AE12" s="20">
        <v>0</v>
      </c>
      <c r="AF12" s="20"/>
      <c r="AG12" s="20">
        <v>0</v>
      </c>
      <c r="AH12" s="20"/>
      <c r="AI12" s="17">
        <f t="shared" si="4"/>
        <v>0.2</v>
      </c>
      <c r="AJ12" s="17">
        <f t="shared" si="4"/>
        <v>0</v>
      </c>
      <c r="AK12" s="28">
        <v>100</v>
      </c>
      <c r="AL12" s="28"/>
      <c r="AM12" s="28">
        <v>100</v>
      </c>
      <c r="AN12" s="28"/>
      <c r="AO12" s="28">
        <v>100</v>
      </c>
      <c r="AP12" s="28"/>
      <c r="AQ12" s="21">
        <f t="shared" si="5"/>
        <v>1</v>
      </c>
      <c r="AR12" s="21">
        <f t="shared" si="6"/>
        <v>0.2</v>
      </c>
      <c r="AS12" s="22" t="str">
        <f t="shared" si="7"/>
        <v/>
      </c>
      <c r="AT12" s="22">
        <f t="shared" si="8"/>
        <v>1</v>
      </c>
      <c r="AU12" s="22">
        <f t="shared" si="9"/>
        <v>0.25</v>
      </c>
      <c r="AV12" s="22">
        <f t="shared" si="10"/>
        <v>0.2</v>
      </c>
      <c r="AW12" s="84">
        <f t="shared" si="11"/>
        <v>0.2</v>
      </c>
      <c r="AX12" s="109" t="s">
        <v>163</v>
      </c>
      <c r="AY12" s="590"/>
    </row>
    <row r="13" spans="1:51" ht="66.75" customHeight="1" x14ac:dyDescent="0.2">
      <c r="A13" s="585"/>
      <c r="B13" s="587"/>
      <c r="C13" s="586" t="s">
        <v>66</v>
      </c>
      <c r="D13" s="24">
        <v>0</v>
      </c>
      <c r="E13" s="28">
        <v>0.05</v>
      </c>
      <c r="F13" s="28">
        <v>0.05</v>
      </c>
      <c r="G13" s="28">
        <v>0.3</v>
      </c>
      <c r="H13" s="28">
        <v>0.3</v>
      </c>
      <c r="I13" s="28">
        <v>0</v>
      </c>
      <c r="J13" s="28">
        <v>0.5</v>
      </c>
      <c r="K13" s="32">
        <f t="shared" si="0"/>
        <v>0.35</v>
      </c>
      <c r="L13" s="32">
        <f t="shared" si="0"/>
        <v>0.85</v>
      </c>
      <c r="M13" s="28">
        <v>0.1</v>
      </c>
      <c r="N13" s="28">
        <v>0.1</v>
      </c>
      <c r="O13" s="28">
        <v>0.05</v>
      </c>
      <c r="P13" s="28">
        <v>0.25</v>
      </c>
      <c r="Q13" s="28">
        <v>0.05</v>
      </c>
      <c r="R13" s="28">
        <v>0.2</v>
      </c>
      <c r="S13" s="33">
        <f t="shared" si="1"/>
        <v>0.2</v>
      </c>
      <c r="T13" s="33">
        <f t="shared" si="1"/>
        <v>0.55000000000000004</v>
      </c>
      <c r="U13" s="28">
        <v>0.05</v>
      </c>
      <c r="V13" s="28"/>
      <c r="W13" s="28">
        <v>0.1</v>
      </c>
      <c r="X13" s="28"/>
      <c r="Y13" s="28">
        <v>0.1</v>
      </c>
      <c r="Z13" s="28"/>
      <c r="AA13" s="33">
        <f t="shared" si="2"/>
        <v>0.25</v>
      </c>
      <c r="AB13" s="33">
        <f t="shared" si="3"/>
        <v>0</v>
      </c>
      <c r="AC13" s="28">
        <v>0.1</v>
      </c>
      <c r="AD13" s="28"/>
      <c r="AE13" s="28">
        <v>0.05</v>
      </c>
      <c r="AF13" s="28"/>
      <c r="AG13" s="28">
        <v>0.05</v>
      </c>
      <c r="AH13" s="28"/>
      <c r="AI13" s="33">
        <f t="shared" si="4"/>
        <v>0.2</v>
      </c>
      <c r="AJ13" s="33">
        <f t="shared" si="4"/>
        <v>0</v>
      </c>
      <c r="AK13" s="28">
        <v>100</v>
      </c>
      <c r="AL13" s="28"/>
      <c r="AM13" s="28">
        <v>100</v>
      </c>
      <c r="AN13" s="28"/>
      <c r="AO13" s="28">
        <v>100</v>
      </c>
      <c r="AP13" s="28"/>
      <c r="AQ13" s="34">
        <f t="shared" si="5"/>
        <v>1</v>
      </c>
      <c r="AR13" s="34">
        <f t="shared" si="6"/>
        <v>1.4</v>
      </c>
      <c r="AS13" s="22">
        <f t="shared" si="7"/>
        <v>2.4285714285714288</v>
      </c>
      <c r="AT13" s="22">
        <f t="shared" si="8"/>
        <v>2.545454545454545</v>
      </c>
      <c r="AU13" s="22">
        <f t="shared" si="9"/>
        <v>1.7499999999999998</v>
      </c>
      <c r="AV13" s="22">
        <f t="shared" si="10"/>
        <v>1.4</v>
      </c>
      <c r="AW13" s="84">
        <f t="shared" si="11"/>
        <v>1.4</v>
      </c>
      <c r="AX13" s="109" t="s">
        <v>162</v>
      </c>
      <c r="AY13" s="590"/>
    </row>
    <row r="14" spans="1:51" ht="106.5" customHeight="1" x14ac:dyDescent="0.2">
      <c r="A14" s="585"/>
      <c r="B14" s="587"/>
      <c r="C14" s="587"/>
      <c r="D14" s="24">
        <v>0</v>
      </c>
      <c r="E14" s="20">
        <v>0</v>
      </c>
      <c r="F14" s="20">
        <v>0</v>
      </c>
      <c r="G14" s="20">
        <v>0</v>
      </c>
      <c r="H14" s="20">
        <v>0</v>
      </c>
      <c r="I14" s="20">
        <v>0</v>
      </c>
      <c r="J14" s="20">
        <v>0</v>
      </c>
      <c r="K14" s="30">
        <f t="shared" si="0"/>
        <v>0</v>
      </c>
      <c r="L14" s="30">
        <f t="shared" si="0"/>
        <v>0</v>
      </c>
      <c r="M14" s="20">
        <v>0</v>
      </c>
      <c r="N14" s="20">
        <v>0</v>
      </c>
      <c r="O14" s="20">
        <v>0</v>
      </c>
      <c r="P14" s="20"/>
      <c r="Q14" s="20">
        <v>1</v>
      </c>
      <c r="R14" s="20">
        <v>0.95</v>
      </c>
      <c r="S14" s="30">
        <f t="shared" si="1"/>
        <v>1</v>
      </c>
      <c r="T14" s="30">
        <f t="shared" si="1"/>
        <v>0.95</v>
      </c>
      <c r="U14" s="20">
        <v>0</v>
      </c>
      <c r="V14" s="20"/>
      <c r="W14" s="20">
        <v>0</v>
      </c>
      <c r="X14" s="20"/>
      <c r="Y14" s="20">
        <v>0</v>
      </c>
      <c r="Z14" s="20"/>
      <c r="AA14" s="30">
        <f t="shared" si="2"/>
        <v>0</v>
      </c>
      <c r="AB14" s="30">
        <f t="shared" si="3"/>
        <v>0</v>
      </c>
      <c r="AC14" s="20">
        <v>0</v>
      </c>
      <c r="AD14" s="20"/>
      <c r="AE14" s="20">
        <v>0</v>
      </c>
      <c r="AF14" s="20"/>
      <c r="AG14" s="20">
        <v>0</v>
      </c>
      <c r="AH14" s="20"/>
      <c r="AI14" s="30">
        <f t="shared" si="4"/>
        <v>0</v>
      </c>
      <c r="AJ14" s="30">
        <f t="shared" si="4"/>
        <v>0</v>
      </c>
      <c r="AK14" s="28">
        <v>100</v>
      </c>
      <c r="AL14" s="28"/>
      <c r="AM14" s="28">
        <v>100</v>
      </c>
      <c r="AN14" s="28"/>
      <c r="AO14" s="28">
        <v>100</v>
      </c>
      <c r="AP14" s="28"/>
      <c r="AQ14" s="21">
        <f t="shared" si="5"/>
        <v>1</v>
      </c>
      <c r="AR14" s="21">
        <f t="shared" si="6"/>
        <v>0.95</v>
      </c>
      <c r="AS14" s="22" t="str">
        <f t="shared" si="7"/>
        <v/>
      </c>
      <c r="AT14" s="22">
        <f t="shared" si="8"/>
        <v>0.95</v>
      </c>
      <c r="AU14" s="22">
        <f t="shared" si="9"/>
        <v>0.95</v>
      </c>
      <c r="AV14" s="22">
        <f t="shared" si="10"/>
        <v>0.95</v>
      </c>
      <c r="AW14" s="84">
        <f>IFERROR(AR14/AQ14,"")</f>
        <v>0.95</v>
      </c>
      <c r="AX14" s="109" t="s">
        <v>174</v>
      </c>
      <c r="AY14" s="590"/>
    </row>
    <row r="15" spans="1:51" ht="66" customHeight="1" x14ac:dyDescent="0.2">
      <c r="A15" s="585"/>
      <c r="B15" s="588"/>
      <c r="C15" s="588"/>
      <c r="D15" s="24">
        <v>0</v>
      </c>
      <c r="E15" s="20">
        <v>0</v>
      </c>
      <c r="F15" s="20">
        <v>0</v>
      </c>
      <c r="G15" s="20">
        <v>0</v>
      </c>
      <c r="H15" s="20">
        <v>0</v>
      </c>
      <c r="I15" s="20">
        <v>0.1</v>
      </c>
      <c r="J15" s="20">
        <v>0.1</v>
      </c>
      <c r="K15" s="30">
        <f t="shared" si="0"/>
        <v>0.1</v>
      </c>
      <c r="L15" s="30">
        <f t="shared" si="0"/>
        <v>0.1</v>
      </c>
      <c r="M15" s="20">
        <v>0.1</v>
      </c>
      <c r="N15" s="20">
        <v>0.1</v>
      </c>
      <c r="O15" s="20">
        <v>0.1</v>
      </c>
      <c r="P15" s="20">
        <v>0.1</v>
      </c>
      <c r="Q15" s="20">
        <v>0.1</v>
      </c>
      <c r="R15" s="20">
        <v>0.1</v>
      </c>
      <c r="S15" s="30">
        <f t="shared" si="1"/>
        <v>0.30000000000000004</v>
      </c>
      <c r="T15" s="30">
        <f t="shared" si="1"/>
        <v>0.30000000000000004</v>
      </c>
      <c r="U15" s="20">
        <v>0.1</v>
      </c>
      <c r="V15" s="20"/>
      <c r="W15" s="20">
        <v>0.1</v>
      </c>
      <c r="X15" s="20"/>
      <c r="Y15" s="20">
        <v>0.1</v>
      </c>
      <c r="Z15" s="20"/>
      <c r="AA15" s="30">
        <f t="shared" si="2"/>
        <v>0.30000000000000004</v>
      </c>
      <c r="AB15" s="30">
        <f t="shared" si="3"/>
        <v>0</v>
      </c>
      <c r="AC15" s="20">
        <v>0.1</v>
      </c>
      <c r="AD15" s="20"/>
      <c r="AE15" s="20">
        <v>0.1</v>
      </c>
      <c r="AF15" s="20"/>
      <c r="AG15" s="20">
        <v>0.1</v>
      </c>
      <c r="AH15" s="35"/>
      <c r="AI15" s="30">
        <f t="shared" si="4"/>
        <v>0.30000000000000004</v>
      </c>
      <c r="AJ15" s="30">
        <f t="shared" si="4"/>
        <v>0</v>
      </c>
      <c r="AK15" s="28">
        <v>100</v>
      </c>
      <c r="AL15" s="28"/>
      <c r="AM15" s="28">
        <v>100</v>
      </c>
      <c r="AN15" s="28"/>
      <c r="AO15" s="28">
        <v>100</v>
      </c>
      <c r="AP15" s="28"/>
      <c r="AQ15" s="21">
        <f t="shared" si="5"/>
        <v>1</v>
      </c>
      <c r="AR15" s="21">
        <f t="shared" si="6"/>
        <v>0.4</v>
      </c>
      <c r="AS15" s="22">
        <f t="shared" si="7"/>
        <v>1</v>
      </c>
      <c r="AT15" s="22">
        <f t="shared" si="8"/>
        <v>1</v>
      </c>
      <c r="AU15" s="22">
        <f t="shared" si="9"/>
        <v>0.5714285714285714</v>
      </c>
      <c r="AV15" s="22">
        <f t="shared" si="10"/>
        <v>0.4</v>
      </c>
      <c r="AW15" s="84">
        <f t="shared" ref="AW15:AW27" si="12">IFERROR(AR15/AQ15,"")</f>
        <v>0.4</v>
      </c>
      <c r="AX15" s="140" t="s">
        <v>164</v>
      </c>
      <c r="AY15" s="591"/>
    </row>
    <row r="16" spans="1:51" ht="56.25" customHeight="1" x14ac:dyDescent="0.2">
      <c r="A16" s="571" t="s">
        <v>47</v>
      </c>
      <c r="B16" s="572" t="s">
        <v>21</v>
      </c>
      <c r="C16" s="36" t="s">
        <v>129</v>
      </c>
      <c r="D16" s="41">
        <v>0</v>
      </c>
      <c r="E16" s="28">
        <v>0</v>
      </c>
      <c r="F16" s="28">
        <v>0</v>
      </c>
      <c r="G16" s="28">
        <v>0</v>
      </c>
      <c r="H16" s="28">
        <v>0</v>
      </c>
      <c r="I16" s="28">
        <v>1</v>
      </c>
      <c r="J16" s="28">
        <v>1</v>
      </c>
      <c r="K16" s="33">
        <f t="shared" si="0"/>
        <v>1</v>
      </c>
      <c r="L16" s="33">
        <f t="shared" si="0"/>
        <v>1</v>
      </c>
      <c r="M16" s="28">
        <v>0</v>
      </c>
      <c r="N16" s="28">
        <v>0</v>
      </c>
      <c r="O16" s="28">
        <v>0</v>
      </c>
      <c r="P16" s="28">
        <v>0</v>
      </c>
      <c r="Q16" s="28">
        <v>1</v>
      </c>
      <c r="R16" s="28">
        <v>1</v>
      </c>
      <c r="S16" s="33">
        <f t="shared" si="1"/>
        <v>1</v>
      </c>
      <c r="T16" s="33">
        <f t="shared" si="1"/>
        <v>1</v>
      </c>
      <c r="U16" s="28">
        <v>0</v>
      </c>
      <c r="V16" s="28"/>
      <c r="W16" s="28">
        <v>1</v>
      </c>
      <c r="X16" s="28"/>
      <c r="Y16" s="28">
        <v>0</v>
      </c>
      <c r="Z16" s="28"/>
      <c r="AA16" s="33">
        <f t="shared" si="2"/>
        <v>1</v>
      </c>
      <c r="AB16" s="33">
        <f t="shared" si="3"/>
        <v>0</v>
      </c>
      <c r="AC16" s="28">
        <v>1</v>
      </c>
      <c r="AD16" s="28"/>
      <c r="AE16" s="28">
        <v>0</v>
      </c>
      <c r="AF16" s="28"/>
      <c r="AG16" s="28">
        <v>0</v>
      </c>
      <c r="AH16" s="28"/>
      <c r="AI16" s="33">
        <f t="shared" si="4"/>
        <v>1</v>
      </c>
      <c r="AJ16" s="33">
        <f t="shared" si="4"/>
        <v>0</v>
      </c>
      <c r="AK16" s="42">
        <v>4</v>
      </c>
      <c r="AL16" s="42"/>
      <c r="AM16" s="42">
        <v>4</v>
      </c>
      <c r="AN16" s="42"/>
      <c r="AO16" s="42">
        <v>4</v>
      </c>
      <c r="AP16" s="42"/>
      <c r="AQ16" s="34">
        <f t="shared" si="5"/>
        <v>4</v>
      </c>
      <c r="AR16" s="34">
        <f t="shared" si="6"/>
        <v>2</v>
      </c>
      <c r="AS16" s="22">
        <f t="shared" si="7"/>
        <v>1</v>
      </c>
      <c r="AT16" s="22">
        <f t="shared" si="8"/>
        <v>1</v>
      </c>
      <c r="AU16" s="22">
        <f t="shared" si="9"/>
        <v>0.66666666666666663</v>
      </c>
      <c r="AV16" s="22">
        <f t="shared" si="10"/>
        <v>0.5</v>
      </c>
      <c r="AW16" s="84">
        <f t="shared" si="12"/>
        <v>0.5</v>
      </c>
      <c r="AX16" s="140" t="s">
        <v>159</v>
      </c>
      <c r="AY16" s="574">
        <f>AW16+AW17/2</f>
        <v>0.5</v>
      </c>
    </row>
    <row r="17" spans="1:51" ht="63" x14ac:dyDescent="0.2">
      <c r="A17" s="571"/>
      <c r="B17" s="573"/>
      <c r="C17" s="36" t="s">
        <v>67</v>
      </c>
      <c r="D17" s="41">
        <v>0</v>
      </c>
      <c r="E17" s="28">
        <v>0</v>
      </c>
      <c r="F17" s="28">
        <v>0</v>
      </c>
      <c r="G17" s="28">
        <v>0</v>
      </c>
      <c r="H17" s="28">
        <v>0</v>
      </c>
      <c r="I17" s="28">
        <v>0</v>
      </c>
      <c r="J17" s="28">
        <v>0</v>
      </c>
      <c r="K17" s="33">
        <f t="shared" si="0"/>
        <v>0</v>
      </c>
      <c r="L17" s="33">
        <f t="shared" si="0"/>
        <v>0</v>
      </c>
      <c r="M17" s="28">
        <v>0</v>
      </c>
      <c r="N17" s="28">
        <v>0</v>
      </c>
      <c r="O17" s="28">
        <v>0</v>
      </c>
      <c r="P17" s="28">
        <v>0</v>
      </c>
      <c r="Q17" s="45">
        <v>1</v>
      </c>
      <c r="R17" s="45">
        <v>0</v>
      </c>
      <c r="S17" s="33">
        <f t="shared" si="1"/>
        <v>1</v>
      </c>
      <c r="T17" s="33">
        <f t="shared" si="1"/>
        <v>0</v>
      </c>
      <c r="U17" s="28">
        <v>0</v>
      </c>
      <c r="V17" s="46"/>
      <c r="W17" s="45">
        <v>0</v>
      </c>
      <c r="X17" s="46"/>
      <c r="Y17" s="45">
        <v>1</v>
      </c>
      <c r="Z17" s="46"/>
      <c r="AA17" s="33">
        <f t="shared" si="2"/>
        <v>1</v>
      </c>
      <c r="AB17" s="33">
        <f t="shared" si="3"/>
        <v>0</v>
      </c>
      <c r="AC17" s="45">
        <v>0</v>
      </c>
      <c r="AD17" s="46"/>
      <c r="AE17" s="45">
        <v>0</v>
      </c>
      <c r="AF17" s="46"/>
      <c r="AG17" s="45">
        <v>0</v>
      </c>
      <c r="AH17" s="46"/>
      <c r="AI17" s="33">
        <f t="shared" si="4"/>
        <v>0</v>
      </c>
      <c r="AJ17" s="33">
        <f t="shared" si="4"/>
        <v>0</v>
      </c>
      <c r="AK17" s="47">
        <v>2</v>
      </c>
      <c r="AL17" s="47"/>
      <c r="AM17" s="47">
        <v>2</v>
      </c>
      <c r="AN17" s="47"/>
      <c r="AO17" s="47">
        <v>2</v>
      </c>
      <c r="AP17" s="47"/>
      <c r="AQ17" s="34">
        <f t="shared" si="5"/>
        <v>2</v>
      </c>
      <c r="AR17" s="34">
        <f t="shared" si="6"/>
        <v>0</v>
      </c>
      <c r="AS17" s="22" t="str">
        <f t="shared" si="7"/>
        <v/>
      </c>
      <c r="AT17" s="22">
        <f t="shared" si="8"/>
        <v>0</v>
      </c>
      <c r="AU17" s="22">
        <f t="shared" si="9"/>
        <v>0</v>
      </c>
      <c r="AV17" s="22">
        <f t="shared" si="10"/>
        <v>0</v>
      </c>
      <c r="AW17" s="84">
        <f>IFERROR(AR17/AQ17,"")</f>
        <v>0</v>
      </c>
      <c r="AX17" s="109" t="s">
        <v>158</v>
      </c>
      <c r="AY17" s="575"/>
    </row>
    <row r="18" spans="1:51" ht="53.25" customHeight="1" x14ac:dyDescent="0.2">
      <c r="A18" s="576" t="s">
        <v>48</v>
      </c>
      <c r="B18" s="577" t="s">
        <v>24</v>
      </c>
      <c r="C18" s="48" t="s">
        <v>86</v>
      </c>
      <c r="D18" s="50">
        <v>0</v>
      </c>
      <c r="E18" s="28">
        <v>8.33</v>
      </c>
      <c r="F18" s="28">
        <v>5.55</v>
      </c>
      <c r="G18" s="28">
        <v>8.33</v>
      </c>
      <c r="H18" s="28">
        <v>4.99</v>
      </c>
      <c r="I18" s="28">
        <v>8.34</v>
      </c>
      <c r="J18" s="28">
        <v>8.34</v>
      </c>
      <c r="K18" s="33">
        <f t="shared" si="0"/>
        <v>25</v>
      </c>
      <c r="L18" s="33">
        <f t="shared" si="0"/>
        <v>18.88</v>
      </c>
      <c r="M18" s="28">
        <v>8.33</v>
      </c>
      <c r="N18" s="28">
        <v>8.34</v>
      </c>
      <c r="O18" s="28">
        <v>8.33</v>
      </c>
      <c r="P18" s="28"/>
      <c r="Q18" s="28">
        <v>8.34</v>
      </c>
      <c r="R18" s="28"/>
      <c r="S18" s="33">
        <f t="shared" si="1"/>
        <v>25</v>
      </c>
      <c r="T18" s="33">
        <f t="shared" si="1"/>
        <v>8.34</v>
      </c>
      <c r="U18" s="28">
        <v>8.33</v>
      </c>
      <c r="V18" s="46"/>
      <c r="W18" s="28">
        <v>8.33</v>
      </c>
      <c r="X18" s="46"/>
      <c r="Y18" s="28">
        <v>8.34</v>
      </c>
      <c r="Z18" s="46"/>
      <c r="AA18" s="33">
        <f t="shared" si="2"/>
        <v>25</v>
      </c>
      <c r="AB18" s="33">
        <f t="shared" si="3"/>
        <v>0</v>
      </c>
      <c r="AC18" s="28">
        <v>8.33</v>
      </c>
      <c r="AD18" s="46"/>
      <c r="AE18" s="28">
        <v>8.33</v>
      </c>
      <c r="AF18" s="46"/>
      <c r="AG18" s="28">
        <v>8.34</v>
      </c>
      <c r="AH18" s="51"/>
      <c r="AI18" s="33">
        <f t="shared" si="4"/>
        <v>25</v>
      </c>
      <c r="AJ18" s="33">
        <f t="shared" si="4"/>
        <v>0</v>
      </c>
      <c r="AK18" s="47">
        <v>100</v>
      </c>
      <c r="AL18" s="47"/>
      <c r="AM18" s="47">
        <v>100</v>
      </c>
      <c r="AN18" s="47"/>
      <c r="AO18" s="47">
        <v>100</v>
      </c>
      <c r="AP18" s="47"/>
      <c r="AQ18" s="34">
        <f t="shared" si="5"/>
        <v>100</v>
      </c>
      <c r="AR18" s="34">
        <f t="shared" si="6"/>
        <v>27.22</v>
      </c>
      <c r="AS18" s="22">
        <f t="shared" si="7"/>
        <v>0.75519999999999998</v>
      </c>
      <c r="AT18" s="22">
        <f t="shared" si="8"/>
        <v>0.5444</v>
      </c>
      <c r="AU18" s="22">
        <f t="shared" si="9"/>
        <v>0.36293333333333333</v>
      </c>
      <c r="AV18" s="22">
        <f t="shared" si="10"/>
        <v>0.2722</v>
      </c>
      <c r="AW18" s="84">
        <f t="shared" si="12"/>
        <v>0.2722</v>
      </c>
      <c r="AX18" s="109" t="s">
        <v>181</v>
      </c>
      <c r="AY18" s="574">
        <f>AW18+AW19/2</f>
        <v>0.5222</v>
      </c>
    </row>
    <row r="19" spans="1:51" ht="76.5" customHeight="1" x14ac:dyDescent="0.2">
      <c r="A19" s="576"/>
      <c r="B19" s="578"/>
      <c r="C19" s="48" t="s">
        <v>25</v>
      </c>
      <c r="D19" s="53">
        <v>0</v>
      </c>
      <c r="E19" s="54">
        <f t="shared" ref="E19:J19" si="13">(1/12)</f>
        <v>8.3333333333333329E-2</v>
      </c>
      <c r="F19" s="54">
        <f t="shared" si="13"/>
        <v>8.3333333333333329E-2</v>
      </c>
      <c r="G19" s="54">
        <f t="shared" si="13"/>
        <v>8.3333333333333329E-2</v>
      </c>
      <c r="H19" s="54">
        <f t="shared" si="13"/>
        <v>8.3333333333333329E-2</v>
      </c>
      <c r="I19" s="54">
        <f t="shared" si="13"/>
        <v>8.3333333333333329E-2</v>
      </c>
      <c r="J19" s="54">
        <f t="shared" si="13"/>
        <v>8.3333333333333329E-2</v>
      </c>
      <c r="K19" s="33">
        <f t="shared" si="0"/>
        <v>0.25</v>
      </c>
      <c r="L19" s="33">
        <f t="shared" si="0"/>
        <v>0.25</v>
      </c>
      <c r="M19" s="54">
        <f t="shared" ref="M19:R19" si="14">(1/12)</f>
        <v>8.3333333333333329E-2</v>
      </c>
      <c r="N19" s="54">
        <f t="shared" si="14"/>
        <v>8.3333333333333329E-2</v>
      </c>
      <c r="O19" s="54">
        <f t="shared" si="14"/>
        <v>8.3333333333333329E-2</v>
      </c>
      <c r="P19" s="54">
        <f t="shared" si="14"/>
        <v>8.3333333333333329E-2</v>
      </c>
      <c r="Q19" s="54">
        <f t="shared" si="14"/>
        <v>8.3333333333333329E-2</v>
      </c>
      <c r="R19" s="54">
        <f t="shared" si="14"/>
        <v>8.3333333333333329E-2</v>
      </c>
      <c r="S19" s="33">
        <f t="shared" si="1"/>
        <v>0.25</v>
      </c>
      <c r="T19" s="33">
        <f t="shared" si="1"/>
        <v>0.25</v>
      </c>
      <c r="U19" s="54">
        <f>(1/12)</f>
        <v>8.3333333333333329E-2</v>
      </c>
      <c r="V19" s="46"/>
      <c r="W19" s="54">
        <f>(1/12)</f>
        <v>8.3333333333333329E-2</v>
      </c>
      <c r="X19" s="46"/>
      <c r="Y19" s="54">
        <f>(1/12)</f>
        <v>8.3333333333333329E-2</v>
      </c>
      <c r="Z19" s="46"/>
      <c r="AA19" s="33">
        <f t="shared" si="2"/>
        <v>0.25</v>
      </c>
      <c r="AB19" s="33">
        <f t="shared" si="3"/>
        <v>0</v>
      </c>
      <c r="AC19" s="54">
        <f>(1/12)</f>
        <v>8.3333333333333329E-2</v>
      </c>
      <c r="AD19" s="46"/>
      <c r="AE19" s="54">
        <f>(1/12)</f>
        <v>8.3333333333333329E-2</v>
      </c>
      <c r="AF19" s="46"/>
      <c r="AG19" s="54">
        <f>(1/12)</f>
        <v>8.3333333333333329E-2</v>
      </c>
      <c r="AH19" s="46"/>
      <c r="AI19" s="33">
        <f t="shared" si="4"/>
        <v>0.25</v>
      </c>
      <c r="AJ19" s="33">
        <f t="shared" si="4"/>
        <v>0</v>
      </c>
      <c r="AK19" s="47">
        <v>1</v>
      </c>
      <c r="AL19" s="47"/>
      <c r="AM19" s="47">
        <v>2</v>
      </c>
      <c r="AN19" s="47"/>
      <c r="AO19" s="47">
        <v>2</v>
      </c>
      <c r="AP19" s="47"/>
      <c r="AQ19" s="34">
        <f t="shared" si="5"/>
        <v>1</v>
      </c>
      <c r="AR19" s="34">
        <f t="shared" si="6"/>
        <v>0.5</v>
      </c>
      <c r="AS19" s="22">
        <f t="shared" si="7"/>
        <v>1</v>
      </c>
      <c r="AT19" s="22">
        <f t="shared" si="8"/>
        <v>1</v>
      </c>
      <c r="AU19" s="22">
        <f t="shared" si="9"/>
        <v>0.66666666666666663</v>
      </c>
      <c r="AV19" s="22">
        <f t="shared" si="10"/>
        <v>0.5</v>
      </c>
      <c r="AW19" s="84">
        <f t="shared" si="12"/>
        <v>0.5</v>
      </c>
      <c r="AX19" s="109" t="s">
        <v>182</v>
      </c>
      <c r="AY19" s="575"/>
    </row>
    <row r="20" spans="1:51" ht="42.75" customHeight="1" x14ac:dyDescent="0.2">
      <c r="A20" s="559" t="s">
        <v>93</v>
      </c>
      <c r="B20" s="560" t="s">
        <v>0</v>
      </c>
      <c r="C20" s="149" t="s">
        <v>95</v>
      </c>
      <c r="D20" s="58">
        <v>200</v>
      </c>
      <c r="E20" s="28">
        <v>65</v>
      </c>
      <c r="F20" s="28">
        <v>72</v>
      </c>
      <c r="G20" s="28">
        <v>75</v>
      </c>
      <c r="H20" s="28">
        <v>57</v>
      </c>
      <c r="I20" s="28">
        <v>62</v>
      </c>
      <c r="J20" s="28">
        <v>62</v>
      </c>
      <c r="K20" s="33">
        <f t="shared" si="0"/>
        <v>202</v>
      </c>
      <c r="L20" s="33">
        <f t="shared" si="0"/>
        <v>191</v>
      </c>
      <c r="M20" s="28">
        <v>68</v>
      </c>
      <c r="N20" s="28">
        <v>68</v>
      </c>
      <c r="O20" s="28">
        <v>71</v>
      </c>
      <c r="P20" s="28">
        <v>115</v>
      </c>
      <c r="Q20" s="28">
        <v>46</v>
      </c>
      <c r="R20" s="28">
        <v>46</v>
      </c>
      <c r="S20" s="33">
        <f t="shared" si="1"/>
        <v>185</v>
      </c>
      <c r="T20" s="33">
        <f t="shared" si="1"/>
        <v>229</v>
      </c>
      <c r="U20" s="46"/>
      <c r="V20" s="46"/>
      <c r="W20" s="46"/>
      <c r="X20" s="46"/>
      <c r="Y20" s="46"/>
      <c r="Z20" s="46"/>
      <c r="AA20" s="33">
        <f t="shared" si="2"/>
        <v>0</v>
      </c>
      <c r="AB20" s="33">
        <f t="shared" si="3"/>
        <v>0</v>
      </c>
      <c r="AC20" s="46"/>
      <c r="AD20" s="46"/>
      <c r="AE20" s="46"/>
      <c r="AF20" s="46"/>
      <c r="AG20" s="46"/>
      <c r="AH20" s="46"/>
      <c r="AI20" s="33">
        <f t="shared" si="4"/>
        <v>0</v>
      </c>
      <c r="AJ20" s="33">
        <f t="shared" si="4"/>
        <v>0</v>
      </c>
      <c r="AK20" s="45">
        <v>200</v>
      </c>
      <c r="AL20" s="45"/>
      <c r="AM20" s="45">
        <v>200</v>
      </c>
      <c r="AN20" s="45"/>
      <c r="AO20" s="45">
        <v>200</v>
      </c>
      <c r="AP20" s="45"/>
      <c r="AQ20" s="34">
        <f t="shared" si="5"/>
        <v>387</v>
      </c>
      <c r="AR20" s="34">
        <f t="shared" si="6"/>
        <v>420</v>
      </c>
      <c r="AS20" s="22">
        <f t="shared" si="7"/>
        <v>0.9455445544554455</v>
      </c>
      <c r="AT20" s="22">
        <f t="shared" si="8"/>
        <v>1.0852713178294573</v>
      </c>
      <c r="AU20" s="22">
        <f t="shared" si="9"/>
        <v>1.0852713178294573</v>
      </c>
      <c r="AV20" s="22">
        <f t="shared" si="10"/>
        <v>1.0852713178294573</v>
      </c>
      <c r="AW20" s="85">
        <f>IFERROR(AR20/AQ20,"")</f>
        <v>1.0852713178294573</v>
      </c>
      <c r="AX20" s="141" t="s">
        <v>183</v>
      </c>
      <c r="AY20" s="563">
        <f xml:space="preserve"> AVERAGE(AW20:AW22)</f>
        <v>0.47286821705426352</v>
      </c>
    </row>
    <row r="21" spans="1:51" ht="90" x14ac:dyDescent="0.2">
      <c r="A21" s="559"/>
      <c r="B21" s="561"/>
      <c r="C21" s="149" t="s">
        <v>75</v>
      </c>
      <c r="D21" s="58">
        <v>0</v>
      </c>
      <c r="E21" s="28">
        <v>0</v>
      </c>
      <c r="F21" s="28">
        <v>0</v>
      </c>
      <c r="G21" s="28">
        <v>0</v>
      </c>
      <c r="H21" s="28">
        <v>0</v>
      </c>
      <c r="I21" s="28">
        <v>0</v>
      </c>
      <c r="J21" s="28">
        <v>0</v>
      </c>
      <c r="K21" s="33">
        <f t="shared" si="0"/>
        <v>0</v>
      </c>
      <c r="L21" s="33">
        <f t="shared" si="0"/>
        <v>0</v>
      </c>
      <c r="M21" s="28">
        <v>0</v>
      </c>
      <c r="N21" s="28">
        <v>0</v>
      </c>
      <c r="O21" s="28">
        <v>1</v>
      </c>
      <c r="P21" s="28">
        <v>1</v>
      </c>
      <c r="Q21" s="28">
        <v>0</v>
      </c>
      <c r="R21" s="28">
        <v>0</v>
      </c>
      <c r="S21" s="33">
        <f t="shared" si="1"/>
        <v>1</v>
      </c>
      <c r="T21" s="33">
        <f t="shared" si="1"/>
        <v>1</v>
      </c>
      <c r="U21" s="45">
        <v>0</v>
      </c>
      <c r="V21" s="45"/>
      <c r="W21" s="45">
        <v>0</v>
      </c>
      <c r="X21" s="45"/>
      <c r="Y21" s="45">
        <v>0</v>
      </c>
      <c r="Z21" s="45"/>
      <c r="AA21" s="33">
        <f t="shared" si="2"/>
        <v>0</v>
      </c>
      <c r="AB21" s="33">
        <f t="shared" si="3"/>
        <v>0</v>
      </c>
      <c r="AC21" s="45">
        <v>0</v>
      </c>
      <c r="AD21" s="45"/>
      <c r="AE21" s="45">
        <v>0</v>
      </c>
      <c r="AF21" s="45"/>
      <c r="AG21" s="45">
        <v>2</v>
      </c>
      <c r="AH21" s="45"/>
      <c r="AI21" s="33">
        <f t="shared" si="4"/>
        <v>2</v>
      </c>
      <c r="AJ21" s="33">
        <f t="shared" si="4"/>
        <v>0</v>
      </c>
      <c r="AK21" s="45">
        <v>2</v>
      </c>
      <c r="AL21" s="45"/>
      <c r="AM21" s="45">
        <v>2</v>
      </c>
      <c r="AN21" s="45"/>
      <c r="AO21" s="45">
        <v>1</v>
      </c>
      <c r="AP21" s="45"/>
      <c r="AQ21" s="34">
        <f t="shared" si="5"/>
        <v>3</v>
      </c>
      <c r="AR21" s="34">
        <f t="shared" si="6"/>
        <v>1</v>
      </c>
      <c r="AS21" s="22" t="str">
        <f t="shared" si="7"/>
        <v/>
      </c>
      <c r="AT21" s="22">
        <f t="shared" si="8"/>
        <v>1</v>
      </c>
      <c r="AU21" s="22">
        <f t="shared" si="9"/>
        <v>1</v>
      </c>
      <c r="AV21" s="22">
        <f t="shared" si="10"/>
        <v>0.33333333333333331</v>
      </c>
      <c r="AW21" s="84">
        <f t="shared" si="12"/>
        <v>0.33333333333333331</v>
      </c>
      <c r="AX21" s="109" t="s">
        <v>179</v>
      </c>
      <c r="AY21" s="564"/>
    </row>
    <row r="22" spans="1:51" ht="45" x14ac:dyDescent="0.2">
      <c r="A22" s="559"/>
      <c r="B22" s="562"/>
      <c r="C22" s="149" t="s">
        <v>100</v>
      </c>
      <c r="D22" s="58">
        <v>145</v>
      </c>
      <c r="E22" s="28">
        <v>0</v>
      </c>
      <c r="F22" s="28">
        <v>0</v>
      </c>
      <c r="G22" s="28">
        <v>0</v>
      </c>
      <c r="H22" s="28">
        <v>0</v>
      </c>
      <c r="I22" s="28">
        <v>0</v>
      </c>
      <c r="J22" s="28">
        <v>0</v>
      </c>
      <c r="K22" s="33">
        <f t="shared" si="0"/>
        <v>0</v>
      </c>
      <c r="L22" s="33">
        <f t="shared" si="0"/>
        <v>0</v>
      </c>
      <c r="M22" s="28">
        <v>0</v>
      </c>
      <c r="N22" s="28">
        <v>0</v>
      </c>
      <c r="O22" s="28">
        <v>0</v>
      </c>
      <c r="P22" s="28">
        <v>0</v>
      </c>
      <c r="Q22" s="28">
        <v>30</v>
      </c>
      <c r="R22" s="28">
        <v>0</v>
      </c>
      <c r="S22" s="33">
        <f>SUM(M22,O22,Q22)</f>
        <v>30</v>
      </c>
      <c r="T22" s="33">
        <f t="shared" si="1"/>
        <v>0</v>
      </c>
      <c r="U22" s="28">
        <v>30</v>
      </c>
      <c r="V22" s="28"/>
      <c r="W22" s="28">
        <v>35</v>
      </c>
      <c r="X22" s="28"/>
      <c r="Y22" s="28">
        <v>35</v>
      </c>
      <c r="Z22" s="28"/>
      <c r="AA22" s="33">
        <f t="shared" si="2"/>
        <v>100</v>
      </c>
      <c r="AB22" s="33">
        <f t="shared" si="3"/>
        <v>0</v>
      </c>
      <c r="AC22" s="28">
        <v>30</v>
      </c>
      <c r="AD22" s="28"/>
      <c r="AE22" s="28">
        <v>30</v>
      </c>
      <c r="AF22" s="28"/>
      <c r="AG22" s="28">
        <v>10</v>
      </c>
      <c r="AH22" s="28"/>
      <c r="AI22" s="33">
        <f t="shared" si="4"/>
        <v>70</v>
      </c>
      <c r="AJ22" s="33">
        <f t="shared" si="4"/>
        <v>0</v>
      </c>
      <c r="AK22" s="45">
        <v>200</v>
      </c>
      <c r="AL22" s="45"/>
      <c r="AM22" s="45">
        <v>200</v>
      </c>
      <c r="AN22" s="45"/>
      <c r="AO22" s="45">
        <v>0</v>
      </c>
      <c r="AP22" s="45"/>
      <c r="AQ22" s="34">
        <f t="shared" si="5"/>
        <v>200</v>
      </c>
      <c r="AR22" s="34">
        <f t="shared" si="6"/>
        <v>0</v>
      </c>
      <c r="AS22" s="22" t="str">
        <f t="shared" si="7"/>
        <v/>
      </c>
      <c r="AT22" s="22">
        <f t="shared" si="8"/>
        <v>0</v>
      </c>
      <c r="AU22" s="22">
        <f t="shared" si="9"/>
        <v>0</v>
      </c>
      <c r="AV22" s="22">
        <f t="shared" si="10"/>
        <v>0</v>
      </c>
      <c r="AW22" s="84">
        <f t="shared" si="12"/>
        <v>0</v>
      </c>
      <c r="AX22" s="109" t="s">
        <v>180</v>
      </c>
      <c r="AY22" s="564"/>
    </row>
    <row r="23" spans="1:51" ht="70.5" customHeight="1" x14ac:dyDescent="0.2">
      <c r="A23" s="565" t="s">
        <v>176</v>
      </c>
      <c r="B23" s="567" t="s">
        <v>175</v>
      </c>
      <c r="C23" s="150" t="s">
        <v>27</v>
      </c>
      <c r="D23" s="64">
        <v>0</v>
      </c>
      <c r="E23" s="142">
        <v>100</v>
      </c>
      <c r="F23" s="142">
        <v>100</v>
      </c>
      <c r="G23" s="142">
        <v>100</v>
      </c>
      <c r="H23" s="142">
        <v>100</v>
      </c>
      <c r="I23" s="142">
        <v>100</v>
      </c>
      <c r="J23" s="142">
        <v>100</v>
      </c>
      <c r="K23" s="143">
        <f>AVERAGE(E23,G23,I23)</f>
        <v>100</v>
      </c>
      <c r="L23" s="151">
        <f t="shared" ref="L23:L24" si="15">IFERROR(AVERAGE(F23,H23,J23),"")</f>
        <v>100</v>
      </c>
      <c r="M23" s="142">
        <v>100</v>
      </c>
      <c r="N23" s="142">
        <v>100</v>
      </c>
      <c r="O23" s="142">
        <v>100</v>
      </c>
      <c r="P23" s="142">
        <v>100</v>
      </c>
      <c r="Q23" s="142">
        <v>100</v>
      </c>
      <c r="R23" s="142">
        <v>100</v>
      </c>
      <c r="S23" s="143">
        <f>AVERAGE(M23,O23,Q23)</f>
        <v>100</v>
      </c>
      <c r="T23" s="143">
        <f t="shared" ref="T23:T25" si="16">IFERROR(AVERAGE(N23,P23,R23),"")</f>
        <v>100</v>
      </c>
      <c r="U23" s="142">
        <v>100</v>
      </c>
      <c r="V23" s="142">
        <v>0</v>
      </c>
      <c r="W23" s="142">
        <v>100</v>
      </c>
      <c r="X23" s="142">
        <v>0</v>
      </c>
      <c r="Y23" s="142">
        <v>100</v>
      </c>
      <c r="Z23" s="142">
        <v>0</v>
      </c>
      <c r="AA23" s="143">
        <f>AVERAGE(U23,W23,Y23)</f>
        <v>100</v>
      </c>
      <c r="AB23" s="143">
        <f>IFERROR(AVERAGE(V23,X23,Z23),"")</f>
        <v>0</v>
      </c>
      <c r="AC23" s="142">
        <v>100</v>
      </c>
      <c r="AD23" s="142">
        <v>0</v>
      </c>
      <c r="AE23" s="142">
        <v>100</v>
      </c>
      <c r="AF23" s="142">
        <v>0</v>
      </c>
      <c r="AG23" s="142">
        <v>100</v>
      </c>
      <c r="AH23" s="142">
        <v>0</v>
      </c>
      <c r="AI23" s="143">
        <f>AVERAGE(AC23,AE23,AG23)</f>
        <v>100</v>
      </c>
      <c r="AJ23" s="143">
        <f t="shared" ref="AJ23:AJ25" si="17">IFERROR(AVERAGE(AD23,AF23,AH23),"")</f>
        <v>0</v>
      </c>
      <c r="AK23" s="45"/>
      <c r="AL23" s="45"/>
      <c r="AM23" s="45"/>
      <c r="AN23" s="45"/>
      <c r="AO23" s="45"/>
      <c r="AP23" s="45"/>
      <c r="AQ23" s="34">
        <f t="shared" ref="AQ23:AR26" si="18">AVERAGE(K23,S23,AA23,AI23)</f>
        <v>100</v>
      </c>
      <c r="AR23" s="34">
        <f t="shared" si="18"/>
        <v>50</v>
      </c>
      <c r="AS23" s="22">
        <f t="shared" si="7"/>
        <v>1</v>
      </c>
      <c r="AT23" s="34">
        <f>AVERAGE(N23,V23,AD23,AL23)</f>
        <v>33.333333333333336</v>
      </c>
      <c r="AU23" s="34">
        <f>AVERAGE(O23,W23,AE23,AM23)</f>
        <v>100</v>
      </c>
      <c r="AV23" s="34">
        <f>AVERAGE(P23,X23,AF23,AN23)</f>
        <v>33.333333333333336</v>
      </c>
      <c r="AW23" s="34">
        <f>AVERAGE(Q23,Y23,AG23,AO23)</f>
        <v>100</v>
      </c>
      <c r="AX23" s="109" t="s">
        <v>178</v>
      </c>
      <c r="AY23" s="569">
        <f xml:space="preserve"> AVERAGE(AW23:AW25)/100</f>
        <v>0.33708333333333335</v>
      </c>
    </row>
    <row r="24" spans="1:51" ht="207" x14ac:dyDescent="0.2">
      <c r="A24" s="566"/>
      <c r="B24" s="568"/>
      <c r="C24" s="150" t="s">
        <v>156</v>
      </c>
      <c r="D24" s="64">
        <v>0</v>
      </c>
      <c r="E24" s="142">
        <v>100</v>
      </c>
      <c r="F24" s="142">
        <v>100</v>
      </c>
      <c r="G24" s="142">
        <v>100</v>
      </c>
      <c r="H24" s="142">
        <v>100</v>
      </c>
      <c r="I24" s="142">
        <v>100</v>
      </c>
      <c r="J24" s="142">
        <v>100</v>
      </c>
      <c r="K24" s="143">
        <f t="shared" ref="K24" si="19">AVERAGE(E24,G24,I24)</f>
        <v>100</v>
      </c>
      <c r="L24" s="143">
        <f t="shared" si="15"/>
        <v>100</v>
      </c>
      <c r="M24" s="142">
        <v>100</v>
      </c>
      <c r="N24" s="142">
        <v>100</v>
      </c>
      <c r="O24" s="142"/>
      <c r="P24" s="142"/>
      <c r="Q24" s="142">
        <v>100</v>
      </c>
      <c r="R24" s="142">
        <v>200</v>
      </c>
      <c r="S24" s="143">
        <f t="shared" ref="S24" si="20">AVERAGE(M24,O24,Q24)</f>
        <v>100</v>
      </c>
      <c r="T24" s="143">
        <f t="shared" si="16"/>
        <v>150</v>
      </c>
      <c r="U24" s="142">
        <v>100</v>
      </c>
      <c r="V24" s="142">
        <v>0</v>
      </c>
      <c r="W24" s="142">
        <v>100</v>
      </c>
      <c r="X24" s="142">
        <v>0</v>
      </c>
      <c r="Y24" s="142">
        <v>100</v>
      </c>
      <c r="Z24" s="142">
        <v>0</v>
      </c>
      <c r="AA24" s="143">
        <f>AVERAGE(U24,W24,Y24)</f>
        <v>100</v>
      </c>
      <c r="AB24" s="143">
        <f>IFERROR(AVERAGE(V24,X24,Z24),"")</f>
        <v>0</v>
      </c>
      <c r="AC24" s="142">
        <v>100</v>
      </c>
      <c r="AD24" s="142">
        <v>0</v>
      </c>
      <c r="AE24" s="142">
        <v>100</v>
      </c>
      <c r="AF24" s="142">
        <v>0</v>
      </c>
      <c r="AG24" s="142">
        <v>100</v>
      </c>
      <c r="AH24" s="142">
        <v>0</v>
      </c>
      <c r="AI24" s="143">
        <f>AVERAGE(AC24,AE24,AG24)</f>
        <v>100</v>
      </c>
      <c r="AJ24" s="143">
        <f t="shared" si="17"/>
        <v>0</v>
      </c>
      <c r="AK24" s="45"/>
      <c r="AL24" s="45"/>
      <c r="AM24" s="45"/>
      <c r="AN24" s="45"/>
      <c r="AO24" s="45"/>
      <c r="AP24" s="45"/>
      <c r="AQ24" s="34">
        <f t="shared" si="18"/>
        <v>100</v>
      </c>
      <c r="AR24" s="34">
        <f t="shared" si="18"/>
        <v>62.5</v>
      </c>
      <c r="AS24" s="22">
        <f t="shared" si="7"/>
        <v>1</v>
      </c>
      <c r="AT24" s="22"/>
      <c r="AU24" s="22"/>
      <c r="AV24" s="22">
        <f>IFERROR((L24+T24+AB24+AJ24)/(K24+S24+AA24+AI24),"")</f>
        <v>0.625</v>
      </c>
      <c r="AW24" s="84">
        <f t="shared" si="12"/>
        <v>0.625</v>
      </c>
      <c r="AX24" s="109" t="s">
        <v>185</v>
      </c>
      <c r="AY24" s="570"/>
    </row>
    <row r="25" spans="1:51" ht="72" x14ac:dyDescent="0.2">
      <c r="A25" s="566"/>
      <c r="B25" s="568"/>
      <c r="C25" s="65" t="s">
        <v>28</v>
      </c>
      <c r="D25" s="64">
        <v>0</v>
      </c>
      <c r="E25" s="142"/>
      <c r="F25" s="142"/>
      <c r="G25" s="142"/>
      <c r="H25" s="142"/>
      <c r="I25" s="142">
        <v>100</v>
      </c>
      <c r="J25" s="142"/>
      <c r="K25" s="143">
        <f>AVERAGE(E25,G25,I25)</f>
        <v>100</v>
      </c>
      <c r="L25" s="151">
        <v>0</v>
      </c>
      <c r="M25" s="142">
        <v>100</v>
      </c>
      <c r="N25" s="142"/>
      <c r="O25" s="142">
        <v>100</v>
      </c>
      <c r="P25" s="142"/>
      <c r="Q25" s="142">
        <v>100</v>
      </c>
      <c r="R25" s="142">
        <v>200</v>
      </c>
      <c r="S25" s="143">
        <f>AVERAGE(M25,O25,Q25)</f>
        <v>100</v>
      </c>
      <c r="T25" s="143">
        <f t="shared" si="16"/>
        <v>200</v>
      </c>
      <c r="U25" s="142">
        <v>100</v>
      </c>
      <c r="V25" s="142">
        <v>0</v>
      </c>
      <c r="W25" s="142">
        <v>100</v>
      </c>
      <c r="X25" s="142">
        <v>0</v>
      </c>
      <c r="Y25" s="142">
        <v>100</v>
      </c>
      <c r="Z25" s="142">
        <v>0</v>
      </c>
      <c r="AA25" s="143">
        <f>AVERAGE(U25,W25,Y25)</f>
        <v>100</v>
      </c>
      <c r="AB25" s="143">
        <f>IFERROR(AVERAGE(V25,X25,Z25),"")</f>
        <v>0</v>
      </c>
      <c r="AC25" s="142">
        <v>100</v>
      </c>
      <c r="AD25" s="142">
        <v>0</v>
      </c>
      <c r="AE25" s="142">
        <v>100</v>
      </c>
      <c r="AF25" s="142">
        <v>0</v>
      </c>
      <c r="AG25" s="142">
        <v>100</v>
      </c>
      <c r="AH25" s="142">
        <v>0</v>
      </c>
      <c r="AI25" s="143">
        <f>AVERAGE(AC25,AE25,AG25)</f>
        <v>100</v>
      </c>
      <c r="AJ25" s="143">
        <f t="shared" si="17"/>
        <v>0</v>
      </c>
      <c r="AK25" s="45"/>
      <c r="AL25" s="45"/>
      <c r="AM25" s="45"/>
      <c r="AN25" s="45"/>
      <c r="AO25" s="45"/>
      <c r="AP25" s="45"/>
      <c r="AQ25" s="34">
        <f t="shared" si="18"/>
        <v>100</v>
      </c>
      <c r="AR25" s="34">
        <f t="shared" si="18"/>
        <v>50</v>
      </c>
      <c r="AS25" s="22">
        <f t="shared" si="7"/>
        <v>0</v>
      </c>
      <c r="AT25" s="22"/>
      <c r="AU25" s="22"/>
      <c r="AV25" s="22">
        <f>IFERROR((L25+T25+AB25+AJ25)/(K25+S25+AA25+AI25),"")</f>
        <v>0.5</v>
      </c>
      <c r="AW25" s="84">
        <f t="shared" si="12"/>
        <v>0.5</v>
      </c>
      <c r="AX25" s="109" t="s">
        <v>184</v>
      </c>
      <c r="AY25" s="570"/>
    </row>
    <row r="26" spans="1:51" ht="99" customHeight="1" x14ac:dyDescent="0.2">
      <c r="A26" s="70" t="s">
        <v>50</v>
      </c>
      <c r="B26" s="67" t="s">
        <v>76</v>
      </c>
      <c r="C26" s="67" t="s">
        <v>77</v>
      </c>
      <c r="D26" s="68">
        <v>0</v>
      </c>
      <c r="E26" s="69">
        <v>0</v>
      </c>
      <c r="F26" s="69">
        <v>0</v>
      </c>
      <c r="G26" s="69">
        <v>0</v>
      </c>
      <c r="H26" s="69">
        <v>0</v>
      </c>
      <c r="I26" s="69">
        <v>0</v>
      </c>
      <c r="J26" s="69">
        <v>0</v>
      </c>
      <c r="K26" s="33">
        <f t="shared" ref="K26:L27" si="21">SUM(E26,G26,I26)</f>
        <v>0</v>
      </c>
      <c r="L26" s="33">
        <f t="shared" si="21"/>
        <v>0</v>
      </c>
      <c r="M26" s="20">
        <v>0</v>
      </c>
      <c r="N26" s="20">
        <v>0</v>
      </c>
      <c r="O26" s="27">
        <v>6.3E-2</v>
      </c>
      <c r="P26" s="20"/>
      <c r="Q26" s="27">
        <v>6.3E-2</v>
      </c>
      <c r="R26" s="20"/>
      <c r="S26" s="33">
        <f>SUM(M26,O26,Q26)</f>
        <v>0.126</v>
      </c>
      <c r="T26" s="33">
        <f t="shared" ref="T26:T27" si="22">SUM(N26,P26,R26)</f>
        <v>0</v>
      </c>
      <c r="U26" s="27">
        <v>6.3E-2</v>
      </c>
      <c r="V26" s="20"/>
      <c r="W26" s="27">
        <v>6.3E-2</v>
      </c>
      <c r="X26" s="20"/>
      <c r="Y26" s="27">
        <v>6.3E-2</v>
      </c>
      <c r="Z26" s="20"/>
      <c r="AA26" s="33">
        <f>SUM(U26,W26,Y26)</f>
        <v>0.189</v>
      </c>
      <c r="AB26" s="33">
        <f>SUM(V26,X26,Z26)</f>
        <v>0</v>
      </c>
      <c r="AC26" s="27">
        <v>6.3E-2</v>
      </c>
      <c r="AD26" s="20"/>
      <c r="AE26" s="27">
        <v>6.3E-2</v>
      </c>
      <c r="AF26" s="20"/>
      <c r="AG26" s="27">
        <v>6.3E-2</v>
      </c>
      <c r="AH26" s="35"/>
      <c r="AI26" s="33">
        <f t="shared" ref="AI26:AJ27" si="23">SUM(AC26,AE26,AG26)</f>
        <v>0.189</v>
      </c>
      <c r="AJ26" s="33">
        <f t="shared" si="23"/>
        <v>0</v>
      </c>
      <c r="AK26" s="45"/>
      <c r="AL26" s="45"/>
      <c r="AM26" s="45">
        <v>1</v>
      </c>
      <c r="AN26" s="45"/>
      <c r="AO26" s="45">
        <v>1</v>
      </c>
      <c r="AP26" s="45"/>
      <c r="AQ26" s="34">
        <f t="shared" si="18"/>
        <v>0.126</v>
      </c>
      <c r="AR26" s="34">
        <f t="shared" si="18"/>
        <v>0</v>
      </c>
      <c r="AS26" s="22" t="str">
        <f t="shared" si="7"/>
        <v/>
      </c>
      <c r="AT26" s="22"/>
      <c r="AU26" s="22"/>
      <c r="AV26" s="22">
        <f>IFERROR((L26+T26+AB26+AJ26)/(K26+S26+AA26+AI26),"")</f>
        <v>0</v>
      </c>
      <c r="AW26" s="84">
        <f t="shared" si="12"/>
        <v>0</v>
      </c>
      <c r="AX26" s="144" t="s">
        <v>105</v>
      </c>
      <c r="AY26" s="110">
        <v>0</v>
      </c>
    </row>
    <row r="27" spans="1:51" ht="88.5" customHeight="1" thickBot="1" x14ac:dyDescent="0.25">
      <c r="A27" s="71" t="s">
        <v>45</v>
      </c>
      <c r="B27" s="72" t="s">
        <v>1</v>
      </c>
      <c r="C27" s="72" t="s">
        <v>30</v>
      </c>
      <c r="D27" s="73">
        <v>1</v>
      </c>
      <c r="E27" s="74">
        <v>8.3299999999999999E-2</v>
      </c>
      <c r="F27" s="74">
        <v>8.3299999999999999E-2</v>
      </c>
      <c r="G27" s="74">
        <v>8.3299999999999999E-2</v>
      </c>
      <c r="H27" s="74">
        <v>8.3299999999999999E-2</v>
      </c>
      <c r="I27" s="74">
        <v>8.3299999999999999E-2</v>
      </c>
      <c r="J27" s="74">
        <v>8.3299999999999999E-2</v>
      </c>
      <c r="K27" s="75">
        <f t="shared" si="21"/>
        <v>0.24990000000000001</v>
      </c>
      <c r="L27" s="75">
        <f t="shared" si="21"/>
        <v>0.24990000000000001</v>
      </c>
      <c r="M27" s="74">
        <v>8.3299999999999999E-2</v>
      </c>
      <c r="N27" s="74">
        <v>8.3299999999999999E-2</v>
      </c>
      <c r="O27" s="74">
        <v>8.3299999999999999E-2</v>
      </c>
      <c r="P27" s="76">
        <v>8.3299999999999999E-2</v>
      </c>
      <c r="Q27" s="74">
        <v>8.3299999999999999E-2</v>
      </c>
      <c r="R27" s="76">
        <v>8.3299999999999999E-2</v>
      </c>
      <c r="S27" s="75">
        <f t="shared" ref="S27" si="24">SUM(M27,O27,Q27)</f>
        <v>0.24990000000000001</v>
      </c>
      <c r="T27" s="75">
        <f t="shared" si="22"/>
        <v>0.24990000000000001</v>
      </c>
      <c r="U27" s="74">
        <v>8.3299999999999999E-2</v>
      </c>
      <c r="V27" s="77"/>
      <c r="W27" s="74">
        <v>8.3299999999999999E-2</v>
      </c>
      <c r="X27" s="77"/>
      <c r="Y27" s="74">
        <v>8.3299999999999999E-2</v>
      </c>
      <c r="Z27" s="77"/>
      <c r="AA27" s="75">
        <f>SUM(U27,W27,Y27)</f>
        <v>0.24990000000000001</v>
      </c>
      <c r="AB27" s="75">
        <f>SUM(V27,X27,Z27)</f>
        <v>0</v>
      </c>
      <c r="AC27" s="74">
        <v>8.3299999999999999E-2</v>
      </c>
      <c r="AD27" s="76"/>
      <c r="AE27" s="74">
        <v>8.3299999999999999E-2</v>
      </c>
      <c r="AF27" s="76"/>
      <c r="AG27" s="74">
        <v>8.3299999999999999E-2</v>
      </c>
      <c r="AH27" s="78"/>
      <c r="AI27" s="75">
        <f t="shared" si="23"/>
        <v>0.24990000000000001</v>
      </c>
      <c r="AJ27" s="75">
        <f t="shared" si="23"/>
        <v>0</v>
      </c>
      <c r="AK27" s="79">
        <v>100</v>
      </c>
      <c r="AL27" s="79"/>
      <c r="AM27" s="79">
        <v>100</v>
      </c>
      <c r="AN27" s="79"/>
      <c r="AO27" s="79">
        <v>100</v>
      </c>
      <c r="AP27" s="79"/>
      <c r="AQ27" s="80">
        <f>SUM(K27,S27,AA27,AI27)</f>
        <v>0.99960000000000004</v>
      </c>
      <c r="AR27" s="80">
        <f>SUM(L27,T27,AB27,AJ27)</f>
        <v>0.49980000000000002</v>
      </c>
      <c r="AS27" s="22">
        <f t="shared" si="7"/>
        <v>1</v>
      </c>
      <c r="AT27" s="81">
        <f>IFERROR((L27+T27)/(K27+S27),"")</f>
        <v>1</v>
      </c>
      <c r="AU27" s="81">
        <f>IFERROR((L27+T27+AB27)/(K27+S27+AA27),"")</f>
        <v>0.66666666666666663</v>
      </c>
      <c r="AV27" s="81">
        <f>IFERROR((L27+T27+AB27+AJ27)/(K27+S27+AA27+AI27),"")</f>
        <v>0.5</v>
      </c>
      <c r="AW27" s="86">
        <f t="shared" si="12"/>
        <v>0.5</v>
      </c>
      <c r="AX27" s="139" t="s">
        <v>157</v>
      </c>
      <c r="AY27" s="111">
        <v>0.33</v>
      </c>
    </row>
  </sheetData>
  <mergeCells count="52">
    <mergeCell ref="A1:B3"/>
    <mergeCell ref="C1:AR3"/>
    <mergeCell ref="A5:A7"/>
    <mergeCell ref="B5:B7"/>
    <mergeCell ref="C5:C7"/>
    <mergeCell ref="D5:D6"/>
    <mergeCell ref="AO6:AP6"/>
    <mergeCell ref="I6:J6"/>
    <mergeCell ref="G6:H6"/>
    <mergeCell ref="E6:F6"/>
    <mergeCell ref="U6:V6"/>
    <mergeCell ref="S6:T6"/>
    <mergeCell ref="Q6:R6"/>
    <mergeCell ref="O6:P6"/>
    <mergeCell ref="M6:N6"/>
    <mergeCell ref="K6:L6"/>
    <mergeCell ref="AY5:AY7"/>
    <mergeCell ref="E5:N5"/>
    <mergeCell ref="AK5:AP5"/>
    <mergeCell ref="AQ5:AR6"/>
    <mergeCell ref="AS5:AV6"/>
    <mergeCell ref="AW5:AW7"/>
    <mergeCell ref="AX5:AX7"/>
    <mergeCell ref="W6:X6"/>
    <mergeCell ref="Y6:Z6"/>
    <mergeCell ref="AA6:AB6"/>
    <mergeCell ref="AC6:AD6"/>
    <mergeCell ref="AE6:AF6"/>
    <mergeCell ref="AG6:AH6"/>
    <mergeCell ref="AI6:AJ6"/>
    <mergeCell ref="AK6:AL6"/>
    <mergeCell ref="AM6:AN6"/>
    <mergeCell ref="A8:A9"/>
    <mergeCell ref="B8:B9"/>
    <mergeCell ref="AY8:AY9"/>
    <mergeCell ref="A10:A15"/>
    <mergeCell ref="B10:B15"/>
    <mergeCell ref="C10:C11"/>
    <mergeCell ref="AY10:AY15"/>
    <mergeCell ref="C13:C15"/>
    <mergeCell ref="A16:A17"/>
    <mergeCell ref="B16:B17"/>
    <mergeCell ref="AY16:AY17"/>
    <mergeCell ref="A18:A19"/>
    <mergeCell ref="B18:B19"/>
    <mergeCell ref="AY18:AY19"/>
    <mergeCell ref="A20:A22"/>
    <mergeCell ref="B20:B22"/>
    <mergeCell ref="AY20:AY22"/>
    <mergeCell ref="A23:A25"/>
    <mergeCell ref="B23:B25"/>
    <mergeCell ref="AY23:AY25"/>
  </mergeCells>
  <dataValidations count="2">
    <dataValidation allowBlank="1" showInputMessage="1" showErrorMessage="1" promptTitle="Actividades" prompt="Registre las actividades macro que se requieren realizar para lograr la meta" sqref="AK8:AP9 AK27:AP27 D8:D9 D27" xr:uid="{00000000-0002-0000-0000-000000000000}"/>
    <dataValidation allowBlank="1" showInputMessage="1" showErrorMessage="1" prompt="Registre las actividades macro que se requieren para cumplir las metas" sqref="AK26:AP26 AK10:AP15 D10:D15 D26" xr:uid="{00000000-0002-0000-0000-000001000000}"/>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6D2BA-8549-496B-A03A-AD4FB9E83AAB}">
  <dimension ref="A1:D18"/>
  <sheetViews>
    <sheetView topLeftCell="A9" workbookViewId="0">
      <selection activeCell="D24" sqref="D24"/>
    </sheetView>
  </sheetViews>
  <sheetFormatPr baseColWidth="10" defaultRowHeight="15" x14ac:dyDescent="0.25"/>
  <cols>
    <col min="1" max="1" width="21" customWidth="1"/>
    <col min="2" max="2" width="61.42578125" customWidth="1"/>
    <col min="3" max="3" width="29" customWidth="1"/>
    <col min="4" max="4" width="24" customWidth="1"/>
  </cols>
  <sheetData>
    <row r="1" spans="1:4" ht="30.75" customHeight="1" x14ac:dyDescent="0.25">
      <c r="A1" s="759" t="s">
        <v>210</v>
      </c>
      <c r="B1" s="760"/>
      <c r="C1" s="549" t="s">
        <v>455</v>
      </c>
      <c r="D1" s="549" t="s">
        <v>456</v>
      </c>
    </row>
    <row r="2" spans="1:4" ht="60" customHeight="1" x14ac:dyDescent="0.25">
      <c r="A2" s="517" t="s">
        <v>213</v>
      </c>
      <c r="B2" s="506" t="s">
        <v>19</v>
      </c>
      <c r="C2" s="514" t="s">
        <v>389</v>
      </c>
      <c r="D2" s="514" t="s">
        <v>45</v>
      </c>
    </row>
    <row r="3" spans="1:4" ht="60" customHeight="1" x14ac:dyDescent="0.25">
      <c r="A3" s="517" t="s">
        <v>214</v>
      </c>
      <c r="B3" s="507" t="s">
        <v>448</v>
      </c>
      <c r="C3" s="515" t="s">
        <v>450</v>
      </c>
      <c r="D3" s="515" t="s">
        <v>449</v>
      </c>
    </row>
    <row r="4" spans="1:4" ht="60" customHeight="1" x14ac:dyDescent="0.25">
      <c r="A4" s="517" t="s">
        <v>215</v>
      </c>
      <c r="B4" s="507" t="s">
        <v>24</v>
      </c>
      <c r="C4" s="515" t="s">
        <v>451</v>
      </c>
      <c r="D4" s="516" t="s">
        <v>48</v>
      </c>
    </row>
    <row r="5" spans="1:4" ht="60" customHeight="1" x14ac:dyDescent="0.25">
      <c r="A5" s="517" t="s">
        <v>216</v>
      </c>
      <c r="B5" s="507" t="s">
        <v>0</v>
      </c>
      <c r="C5" s="515" t="s">
        <v>452</v>
      </c>
      <c r="D5" s="516" t="s">
        <v>93</v>
      </c>
    </row>
    <row r="6" spans="1:4" ht="60" customHeight="1" x14ac:dyDescent="0.25">
      <c r="A6" s="517" t="s">
        <v>217</v>
      </c>
      <c r="B6" s="507" t="s">
        <v>26</v>
      </c>
      <c r="C6" s="515" t="s">
        <v>453</v>
      </c>
      <c r="D6" s="515" t="s">
        <v>176</v>
      </c>
    </row>
    <row r="7" spans="1:4" ht="60" customHeight="1" x14ac:dyDescent="0.25">
      <c r="A7" s="517" t="s">
        <v>218</v>
      </c>
      <c r="B7" s="507" t="s">
        <v>248</v>
      </c>
      <c r="C7" s="515" t="s">
        <v>454</v>
      </c>
      <c r="D7" s="515" t="s">
        <v>50</v>
      </c>
    </row>
    <row r="8" spans="1:4" ht="60" customHeight="1" x14ac:dyDescent="0.25">
      <c r="A8" s="517" t="s">
        <v>219</v>
      </c>
      <c r="B8" s="507" t="s">
        <v>1</v>
      </c>
      <c r="C8" s="515" t="s">
        <v>389</v>
      </c>
      <c r="D8" s="515" t="s">
        <v>45</v>
      </c>
    </row>
    <row r="9" spans="1:4" x14ac:dyDescent="0.25">
      <c r="D9" s="761"/>
    </row>
    <row r="10" spans="1:4" x14ac:dyDescent="0.25">
      <c r="D10" s="762"/>
    </row>
    <row r="11" spans="1:4" x14ac:dyDescent="0.25">
      <c r="B11" s="553" t="s">
        <v>457</v>
      </c>
      <c r="C11" s="554" t="s">
        <v>458</v>
      </c>
      <c r="D11" s="762"/>
    </row>
    <row r="12" spans="1:4" x14ac:dyDescent="0.25">
      <c r="B12" s="517" t="s">
        <v>213</v>
      </c>
      <c r="C12" s="499">
        <v>1</v>
      </c>
      <c r="D12" s="763"/>
    </row>
    <row r="13" spans="1:4" x14ac:dyDescent="0.25">
      <c r="B13" s="517" t="s">
        <v>214</v>
      </c>
      <c r="C13" s="499">
        <v>5</v>
      </c>
      <c r="D13" s="763"/>
    </row>
    <row r="14" spans="1:4" x14ac:dyDescent="0.25">
      <c r="B14" s="517" t="s">
        <v>215</v>
      </c>
      <c r="C14" s="499">
        <v>2</v>
      </c>
      <c r="D14" s="763"/>
    </row>
    <row r="15" spans="1:4" x14ac:dyDescent="0.25">
      <c r="B15" s="517" t="s">
        <v>216</v>
      </c>
      <c r="C15" s="499">
        <v>3</v>
      </c>
      <c r="D15" s="763"/>
    </row>
    <row r="16" spans="1:4" x14ac:dyDescent="0.25">
      <c r="B16" s="517" t="s">
        <v>217</v>
      </c>
      <c r="C16" s="499">
        <v>1</v>
      </c>
      <c r="D16" s="550"/>
    </row>
    <row r="17" spans="2:4" x14ac:dyDescent="0.25">
      <c r="B17" s="517" t="s">
        <v>218</v>
      </c>
      <c r="C17" s="499">
        <v>1</v>
      </c>
      <c r="D17" s="551"/>
    </row>
    <row r="18" spans="2:4" ht="15.75" thickBot="1" x14ac:dyDescent="0.3">
      <c r="B18" s="517" t="s">
        <v>219</v>
      </c>
      <c r="C18" s="499">
        <v>1</v>
      </c>
      <c r="D18" s="552"/>
    </row>
  </sheetData>
  <sheetProtection algorithmName="SHA-512" hashValue="ZMomO/gXMUmqUQxxqYAunkQxSnkwHzX79XAs0jLSAH1amCCKXHz9TzNn+Wx1YjDBlegBaclLJDwm9g1kOUTltg==" saltValue="NjVX6+iuwYx0IDWiPJxC+g==" spinCount="100000" sheet="1" objects="1" scenarios="1"/>
  <mergeCells count="4">
    <mergeCell ref="A1:B1"/>
    <mergeCell ref="D9:D10"/>
    <mergeCell ref="D11:D12"/>
    <mergeCell ref="D13:D1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78C1E-E9BD-4188-A2D0-94F052873C5D}">
  <dimension ref="A1:K24"/>
  <sheetViews>
    <sheetView topLeftCell="A10" zoomScale="84" zoomScaleNormal="84" workbookViewId="0">
      <selection activeCell="C16" sqref="C16"/>
    </sheetView>
  </sheetViews>
  <sheetFormatPr baseColWidth="10" defaultRowHeight="15" x14ac:dyDescent="0.25"/>
  <cols>
    <col min="1" max="1" width="15.140625" customWidth="1"/>
    <col min="2" max="2" width="44.5703125" customWidth="1"/>
    <col min="3" max="3" width="60.28515625" customWidth="1"/>
    <col min="4" max="6" width="13.28515625" customWidth="1"/>
    <col min="7" max="7" width="14.140625" customWidth="1"/>
    <col min="8" max="8" width="15.28515625" customWidth="1"/>
    <col min="9" max="10" width="15.28515625" hidden="1" customWidth="1"/>
  </cols>
  <sheetData>
    <row r="1" spans="1:11" ht="15" customHeight="1" x14ac:dyDescent="0.25">
      <c r="A1" s="768" t="s">
        <v>51</v>
      </c>
      <c r="B1" s="768" t="s">
        <v>429</v>
      </c>
      <c r="C1" s="769" t="s">
        <v>430</v>
      </c>
      <c r="D1" s="764" t="s">
        <v>427</v>
      </c>
      <c r="E1" s="765"/>
      <c r="F1" s="764" t="s">
        <v>147</v>
      </c>
      <c r="G1" s="765"/>
      <c r="H1" s="770" t="s">
        <v>304</v>
      </c>
      <c r="I1" s="770" t="s">
        <v>305</v>
      </c>
      <c r="J1" s="770" t="s">
        <v>306</v>
      </c>
    </row>
    <row r="2" spans="1:11" ht="15" customHeight="1" x14ac:dyDescent="0.25">
      <c r="A2" s="768"/>
      <c r="B2" s="768"/>
      <c r="C2" s="769"/>
      <c r="D2" s="766"/>
      <c r="E2" s="767"/>
      <c r="F2" s="766"/>
      <c r="G2" s="767"/>
      <c r="H2" s="771"/>
      <c r="I2" s="771"/>
      <c r="J2" s="771"/>
    </row>
    <row r="3" spans="1:11" ht="50.25" customHeight="1" x14ac:dyDescent="0.25">
      <c r="A3" s="768"/>
      <c r="B3" s="768"/>
      <c r="C3" s="769"/>
      <c r="D3" s="494" t="s">
        <v>259</v>
      </c>
      <c r="E3" s="494" t="s">
        <v>282</v>
      </c>
      <c r="F3" s="495" t="s">
        <v>259</v>
      </c>
      <c r="G3" s="496" t="s">
        <v>312</v>
      </c>
      <c r="H3" s="494" t="s">
        <v>259</v>
      </c>
      <c r="I3" s="494" t="s">
        <v>259</v>
      </c>
      <c r="J3" s="494" t="s">
        <v>259</v>
      </c>
    </row>
    <row r="4" spans="1:11" ht="71.25" customHeight="1" x14ac:dyDescent="0.25">
      <c r="A4" s="254"/>
      <c r="B4" s="469" t="s">
        <v>19</v>
      </c>
      <c r="C4" s="469" t="s">
        <v>234</v>
      </c>
      <c r="D4" s="253">
        <v>1</v>
      </c>
      <c r="E4" s="253">
        <v>1</v>
      </c>
      <c r="F4" s="253">
        <v>1</v>
      </c>
      <c r="G4" s="485">
        <v>1</v>
      </c>
      <c r="H4" s="487">
        <v>1</v>
      </c>
      <c r="I4" s="253">
        <v>1</v>
      </c>
      <c r="J4" s="253">
        <v>1</v>
      </c>
    </row>
    <row r="5" spans="1:11" ht="38.25" customHeight="1" x14ac:dyDescent="0.25">
      <c r="A5" s="772"/>
      <c r="B5" s="741" t="s">
        <v>21</v>
      </c>
      <c r="C5" s="750" t="s">
        <v>235</v>
      </c>
      <c r="D5" s="253">
        <v>1</v>
      </c>
      <c r="E5" s="253">
        <v>1</v>
      </c>
      <c r="F5" s="253">
        <v>1</v>
      </c>
      <c r="G5" s="497">
        <v>0.5</v>
      </c>
      <c r="H5" s="487">
        <v>1</v>
      </c>
      <c r="I5" s="253">
        <v>1</v>
      </c>
      <c r="J5" s="253">
        <v>1</v>
      </c>
    </row>
    <row r="6" spans="1:11" ht="38.25" customHeight="1" x14ac:dyDescent="0.25">
      <c r="A6" s="772"/>
      <c r="B6" s="741"/>
      <c r="C6" s="752"/>
      <c r="D6" s="253">
        <v>1</v>
      </c>
      <c r="E6" s="253">
        <v>1</v>
      </c>
      <c r="F6" s="253">
        <v>1</v>
      </c>
      <c r="G6" s="485">
        <v>0.95</v>
      </c>
      <c r="H6" s="487">
        <v>1</v>
      </c>
      <c r="I6" s="253">
        <v>1</v>
      </c>
      <c r="J6" s="253">
        <v>1</v>
      </c>
    </row>
    <row r="7" spans="1:11" ht="38.25" customHeight="1" x14ac:dyDescent="0.25">
      <c r="A7" s="772"/>
      <c r="B7" s="741"/>
      <c r="C7" s="306" t="s">
        <v>236</v>
      </c>
      <c r="D7" s="253">
        <v>0</v>
      </c>
      <c r="E7" s="253">
        <v>0</v>
      </c>
      <c r="F7" s="253">
        <v>1</v>
      </c>
      <c r="G7" s="485">
        <v>1</v>
      </c>
      <c r="H7" s="487">
        <v>1</v>
      </c>
      <c r="I7" s="253">
        <v>1</v>
      </c>
      <c r="J7" s="253">
        <v>1</v>
      </c>
      <c r="K7" s="486"/>
    </row>
    <row r="8" spans="1:11" ht="41.25" customHeight="1" x14ac:dyDescent="0.25">
      <c r="A8" s="772"/>
      <c r="B8" s="741"/>
      <c r="C8" s="750" t="s">
        <v>237</v>
      </c>
      <c r="D8" s="253">
        <v>0</v>
      </c>
      <c r="E8" s="253">
        <v>0</v>
      </c>
      <c r="F8" s="253">
        <v>1</v>
      </c>
      <c r="G8" s="485">
        <v>0.9</v>
      </c>
      <c r="H8" s="487">
        <v>1</v>
      </c>
      <c r="I8" s="253">
        <v>1</v>
      </c>
      <c r="J8" s="253">
        <v>1</v>
      </c>
    </row>
    <row r="9" spans="1:11" ht="41.25" customHeight="1" x14ac:dyDescent="0.25">
      <c r="A9" s="772"/>
      <c r="B9" s="741"/>
      <c r="C9" s="751"/>
      <c r="D9" s="253">
        <v>0</v>
      </c>
      <c r="E9" s="253">
        <v>0</v>
      </c>
      <c r="F9" s="253">
        <v>1</v>
      </c>
      <c r="G9" s="485">
        <v>0.95</v>
      </c>
      <c r="H9" s="487">
        <v>1</v>
      </c>
      <c r="I9" s="253">
        <v>1</v>
      </c>
      <c r="J9" s="253">
        <v>1</v>
      </c>
    </row>
    <row r="10" spans="1:11" ht="41.25" customHeight="1" x14ac:dyDescent="0.25">
      <c r="A10" s="772"/>
      <c r="B10" s="741"/>
      <c r="C10" s="752"/>
      <c r="D10" s="253">
        <v>0</v>
      </c>
      <c r="E10" s="253">
        <v>0</v>
      </c>
      <c r="F10" s="253">
        <v>1</v>
      </c>
      <c r="G10" s="485">
        <v>1</v>
      </c>
      <c r="H10" s="487">
        <v>1</v>
      </c>
      <c r="I10" s="253">
        <v>1</v>
      </c>
      <c r="J10" s="253">
        <v>1</v>
      </c>
    </row>
    <row r="11" spans="1:11" ht="30.75" customHeight="1" x14ac:dyDescent="0.25">
      <c r="A11" s="772"/>
      <c r="B11" s="741"/>
      <c r="C11" s="306" t="s">
        <v>238</v>
      </c>
      <c r="D11" s="253">
        <v>0</v>
      </c>
      <c r="E11" s="253">
        <v>0</v>
      </c>
      <c r="F11" s="253">
        <v>1</v>
      </c>
      <c r="G11" s="485">
        <v>1</v>
      </c>
      <c r="H11" s="487">
        <v>1</v>
      </c>
      <c r="I11" s="253">
        <v>1</v>
      </c>
      <c r="J11" s="253">
        <v>1</v>
      </c>
    </row>
    <row r="12" spans="1:11" ht="43.5" customHeight="1" x14ac:dyDescent="0.25">
      <c r="A12" s="772"/>
      <c r="B12" s="741"/>
      <c r="C12" s="468" t="s">
        <v>239</v>
      </c>
      <c r="D12" s="253">
        <v>0</v>
      </c>
      <c r="E12" s="253">
        <v>0</v>
      </c>
      <c r="F12" s="253">
        <v>1</v>
      </c>
      <c r="G12" s="485">
        <v>1.0900000000000001</v>
      </c>
      <c r="H12" s="487">
        <v>1</v>
      </c>
      <c r="I12" s="253">
        <v>1</v>
      </c>
      <c r="J12" s="253">
        <v>1</v>
      </c>
    </row>
    <row r="13" spans="1:11" ht="46.5" customHeight="1" x14ac:dyDescent="0.25">
      <c r="A13" s="772"/>
      <c r="B13" s="741" t="s">
        <v>24</v>
      </c>
      <c r="C13" s="468" t="s">
        <v>240</v>
      </c>
      <c r="D13" s="253">
        <v>0</v>
      </c>
      <c r="E13" s="253">
        <v>0</v>
      </c>
      <c r="F13" s="253">
        <v>1</v>
      </c>
      <c r="G13" s="485">
        <v>0.98</v>
      </c>
      <c r="H13" s="487">
        <v>1</v>
      </c>
      <c r="I13" s="253">
        <v>1</v>
      </c>
      <c r="J13" s="253">
        <v>1</v>
      </c>
    </row>
    <row r="14" spans="1:11" ht="46.5" customHeight="1" x14ac:dyDescent="0.25">
      <c r="A14" s="772"/>
      <c r="B14" s="741"/>
      <c r="C14" s="468" t="s">
        <v>241</v>
      </c>
      <c r="D14" s="253">
        <v>0</v>
      </c>
      <c r="E14" s="253">
        <v>0</v>
      </c>
      <c r="F14" s="253">
        <v>1</v>
      </c>
      <c r="G14" s="485">
        <v>1</v>
      </c>
      <c r="H14" s="487">
        <v>1</v>
      </c>
      <c r="I14" s="253">
        <v>1</v>
      </c>
      <c r="J14" s="253">
        <v>1</v>
      </c>
    </row>
    <row r="15" spans="1:11" ht="45" customHeight="1" x14ac:dyDescent="0.25">
      <c r="A15" s="772"/>
      <c r="B15" s="735" t="s">
        <v>0</v>
      </c>
      <c r="C15" s="493" t="s">
        <v>428</v>
      </c>
      <c r="D15" s="305">
        <v>1</v>
      </c>
      <c r="E15" s="305">
        <v>1</v>
      </c>
      <c r="F15" s="305">
        <v>1</v>
      </c>
      <c r="G15" s="485">
        <v>1.75</v>
      </c>
      <c r="H15" s="489">
        <v>1</v>
      </c>
      <c r="I15" s="489">
        <v>1</v>
      </c>
      <c r="J15" s="489">
        <v>1</v>
      </c>
    </row>
    <row r="16" spans="1:11" ht="45" customHeight="1" x14ac:dyDescent="0.25">
      <c r="A16" s="772"/>
      <c r="B16" s="736"/>
      <c r="C16" s="493" t="s">
        <v>244</v>
      </c>
      <c r="D16" s="304">
        <v>0</v>
      </c>
      <c r="E16" s="304">
        <v>0</v>
      </c>
      <c r="F16" s="304">
        <v>3</v>
      </c>
      <c r="G16" s="498">
        <v>1</v>
      </c>
      <c r="H16" s="488">
        <v>6</v>
      </c>
      <c r="I16" s="304">
        <v>2</v>
      </c>
      <c r="J16" s="254"/>
    </row>
    <row r="17" spans="1:10" ht="45" customHeight="1" x14ac:dyDescent="0.25">
      <c r="A17" s="772"/>
      <c r="B17" s="736"/>
      <c r="C17" s="493" t="s">
        <v>243</v>
      </c>
      <c r="D17" s="304">
        <v>110</v>
      </c>
      <c r="E17" s="304">
        <v>110</v>
      </c>
      <c r="F17" s="304">
        <v>200</v>
      </c>
      <c r="G17" s="498">
        <v>0</v>
      </c>
      <c r="H17" s="488">
        <v>308</v>
      </c>
      <c r="I17" s="304">
        <v>209</v>
      </c>
      <c r="J17" s="470">
        <v>209</v>
      </c>
    </row>
    <row r="18" spans="1:10" ht="44.25" customHeight="1" x14ac:dyDescent="0.25">
      <c r="A18" s="254"/>
      <c r="B18" s="306" t="s">
        <v>26</v>
      </c>
      <c r="C18" s="493" t="s">
        <v>426</v>
      </c>
      <c r="D18" s="305">
        <v>0</v>
      </c>
      <c r="E18" s="305">
        <v>0</v>
      </c>
      <c r="F18" s="305">
        <v>1</v>
      </c>
      <c r="G18" s="485">
        <v>1.1200000000000001</v>
      </c>
      <c r="H18" s="489">
        <v>1</v>
      </c>
      <c r="I18" s="305">
        <v>1</v>
      </c>
      <c r="J18" s="305">
        <v>1</v>
      </c>
    </row>
    <row r="19" spans="1:10" ht="75.75" customHeight="1" x14ac:dyDescent="0.25">
      <c r="A19" s="254"/>
      <c r="B19" s="493" t="s">
        <v>29</v>
      </c>
      <c r="C19" s="493" t="s">
        <v>246</v>
      </c>
      <c r="D19" s="305">
        <v>0</v>
      </c>
      <c r="E19" s="305">
        <v>0</v>
      </c>
      <c r="F19" s="305">
        <v>1</v>
      </c>
      <c r="G19" s="485">
        <v>1</v>
      </c>
      <c r="H19" s="489">
        <v>1</v>
      </c>
      <c r="I19" s="305">
        <v>1</v>
      </c>
      <c r="J19" s="305">
        <v>1</v>
      </c>
    </row>
    <row r="20" spans="1:10" ht="75.75" customHeight="1" x14ac:dyDescent="0.25">
      <c r="A20" s="254"/>
      <c r="B20" s="493" t="s">
        <v>1</v>
      </c>
      <c r="C20" s="493" t="s">
        <v>247</v>
      </c>
      <c r="D20" s="305">
        <v>1</v>
      </c>
      <c r="E20" s="305">
        <v>1</v>
      </c>
      <c r="F20" s="305">
        <v>1</v>
      </c>
      <c r="G20" s="485">
        <v>1</v>
      </c>
      <c r="H20" s="489">
        <v>1</v>
      </c>
      <c r="I20" s="305">
        <v>1</v>
      </c>
      <c r="J20" s="305">
        <v>1</v>
      </c>
    </row>
    <row r="21" spans="1:10" x14ac:dyDescent="0.25">
      <c r="G21" s="240"/>
    </row>
    <row r="22" spans="1:10" x14ac:dyDescent="0.25">
      <c r="C22" s="288"/>
    </row>
    <row r="23" spans="1:10" x14ac:dyDescent="0.25">
      <c r="C23" s="288"/>
    </row>
    <row r="24" spans="1:10" x14ac:dyDescent="0.25">
      <c r="C24" s="288"/>
    </row>
  </sheetData>
  <mergeCells count="16">
    <mergeCell ref="A15:A17"/>
    <mergeCell ref="B13:B14"/>
    <mergeCell ref="B15:B17"/>
    <mergeCell ref="B5:B12"/>
    <mergeCell ref="H1:H2"/>
    <mergeCell ref="I1:I2"/>
    <mergeCell ref="J1:J2"/>
    <mergeCell ref="A5:A12"/>
    <mergeCell ref="A13:A14"/>
    <mergeCell ref="C5:C6"/>
    <mergeCell ref="C8:C10"/>
    <mergeCell ref="D1:E2"/>
    <mergeCell ref="F1:G2"/>
    <mergeCell ref="A1:A3"/>
    <mergeCell ref="B1:B3"/>
    <mergeCell ref="C1:C3"/>
  </mergeCells>
  <dataValidations count="1">
    <dataValidation allowBlank="1" showInputMessage="1" showErrorMessage="1" prompt="Registre las actividades macro que se requieren para cumplir las metas" sqref="D7:E10" xr:uid="{354DACC7-4AEE-4782-A3C6-590769A9431D}"/>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3DF62-A69E-47CD-B521-F9C6CD2B130A}">
  <dimension ref="A1:G8"/>
  <sheetViews>
    <sheetView zoomScale="77" zoomScaleNormal="77" workbookViewId="0">
      <selection activeCell="C2" sqref="C2"/>
    </sheetView>
  </sheetViews>
  <sheetFormatPr baseColWidth="10" defaultRowHeight="15" x14ac:dyDescent="0.25"/>
  <cols>
    <col min="1" max="1" width="21.5703125" customWidth="1"/>
    <col min="2" max="2" width="50.85546875" customWidth="1"/>
    <col min="3" max="3" width="31.7109375" customWidth="1"/>
    <col min="4" max="4" width="17.7109375" hidden="1" customWidth="1"/>
  </cols>
  <sheetData>
    <row r="1" spans="1:7" ht="53.25" customHeight="1" x14ac:dyDescent="0.25">
      <c r="A1" s="773" t="s">
        <v>210</v>
      </c>
      <c r="B1" s="774"/>
      <c r="C1" s="251" t="s">
        <v>211</v>
      </c>
      <c r="D1" s="251" t="s">
        <v>250</v>
      </c>
    </row>
    <row r="2" spans="1:7" ht="78" customHeight="1" x14ac:dyDescent="0.25">
      <c r="A2" s="246" t="s">
        <v>213</v>
      </c>
      <c r="B2" s="246" t="s">
        <v>19</v>
      </c>
      <c r="C2" s="247">
        <v>1</v>
      </c>
      <c r="D2" s="254"/>
    </row>
    <row r="3" spans="1:7" ht="78" customHeight="1" x14ac:dyDescent="0.25">
      <c r="A3" s="246" t="s">
        <v>214</v>
      </c>
      <c r="B3" s="248" t="s">
        <v>249</v>
      </c>
      <c r="C3" s="247">
        <v>0.9</v>
      </c>
      <c r="D3" s="254"/>
    </row>
    <row r="4" spans="1:7" ht="78" customHeight="1" x14ac:dyDescent="0.25">
      <c r="A4" s="246" t="s">
        <v>215</v>
      </c>
      <c r="B4" s="249" t="s">
        <v>24</v>
      </c>
      <c r="C4" s="247">
        <v>0.99</v>
      </c>
      <c r="D4" s="254"/>
    </row>
    <row r="5" spans="1:7" ht="78" customHeight="1" x14ac:dyDescent="0.25">
      <c r="A5" s="246" t="s">
        <v>216</v>
      </c>
      <c r="B5" s="249" t="s">
        <v>0</v>
      </c>
      <c r="C5" s="250">
        <v>0.69</v>
      </c>
      <c r="D5" s="254"/>
      <c r="G5" t="s">
        <v>307</v>
      </c>
    </row>
    <row r="6" spans="1:7" ht="78" customHeight="1" x14ac:dyDescent="0.25">
      <c r="A6" s="246" t="s">
        <v>217</v>
      </c>
      <c r="B6" s="249" t="s">
        <v>26</v>
      </c>
      <c r="C6" s="247">
        <v>1.1200000000000001</v>
      </c>
      <c r="D6" s="254"/>
    </row>
    <row r="7" spans="1:7" ht="78" customHeight="1" x14ac:dyDescent="0.25">
      <c r="A7" s="246" t="s">
        <v>218</v>
      </c>
      <c r="B7" s="249" t="s">
        <v>248</v>
      </c>
      <c r="C7" s="250">
        <v>1</v>
      </c>
      <c r="D7" s="254"/>
    </row>
    <row r="8" spans="1:7" ht="78" customHeight="1" x14ac:dyDescent="0.25">
      <c r="A8" s="246" t="s">
        <v>219</v>
      </c>
      <c r="B8" s="249" t="s">
        <v>1</v>
      </c>
      <c r="C8" s="247">
        <v>1</v>
      </c>
      <c r="D8" s="254"/>
    </row>
  </sheetData>
  <mergeCells count="1">
    <mergeCell ref="A1:B1"/>
  </mergeCells>
  <phoneticPr fontId="48"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81E77-FCB5-42C6-A985-C7FB65D4E9BE}">
  <dimension ref="C2:X25"/>
  <sheetViews>
    <sheetView topLeftCell="A6" workbookViewId="0">
      <selection activeCell="F10" sqref="F10"/>
    </sheetView>
  </sheetViews>
  <sheetFormatPr baseColWidth="10" defaultRowHeight="15" x14ac:dyDescent="0.25"/>
  <cols>
    <col min="4" max="4" width="18.5703125" customWidth="1"/>
    <col min="5" max="5" width="17.42578125" customWidth="1"/>
    <col min="6" max="6" width="28.7109375" customWidth="1"/>
    <col min="7" max="7" width="19.42578125" customWidth="1"/>
    <col min="8" max="8" width="24.28515625" customWidth="1"/>
    <col min="9" max="9" width="29.7109375" customWidth="1"/>
    <col min="10" max="10" width="34.42578125" customWidth="1"/>
    <col min="11" max="11" width="29.7109375" customWidth="1"/>
  </cols>
  <sheetData>
    <row r="2" spans="3:16" x14ac:dyDescent="0.25">
      <c r="I2" s="240"/>
      <c r="J2" s="240"/>
      <c r="K2" s="240"/>
    </row>
    <row r="3" spans="3:16" x14ac:dyDescent="0.25">
      <c r="M3">
        <v>50</v>
      </c>
      <c r="N3">
        <v>100</v>
      </c>
    </row>
    <row r="4" spans="3:16" x14ac:dyDescent="0.25">
      <c r="D4" s="264" t="s">
        <v>258</v>
      </c>
      <c r="E4" s="260"/>
      <c r="M4">
        <v>75</v>
      </c>
      <c r="N4" t="s">
        <v>257</v>
      </c>
    </row>
    <row r="5" spans="3:16" x14ac:dyDescent="0.25">
      <c r="D5" s="264"/>
      <c r="E5" s="260"/>
      <c r="F5" s="258"/>
      <c r="M5" t="s">
        <v>257</v>
      </c>
      <c r="N5" s="257">
        <f>50/75</f>
        <v>0.66666666666666663</v>
      </c>
      <c r="P5" s="255">
        <f>75/50</f>
        <v>1.5</v>
      </c>
    </row>
    <row r="6" spans="3:16" ht="30" x14ac:dyDescent="0.25">
      <c r="D6" s="278" t="s">
        <v>280</v>
      </c>
      <c r="E6" s="278" t="s">
        <v>281</v>
      </c>
      <c r="F6" s="279" t="s">
        <v>16</v>
      </c>
      <c r="G6" s="280" t="s">
        <v>259</v>
      </c>
      <c r="H6" s="278" t="s">
        <v>282</v>
      </c>
      <c r="I6" s="280" t="s">
        <v>283</v>
      </c>
      <c r="J6" s="286" t="s">
        <v>284</v>
      </c>
      <c r="K6" s="281"/>
    </row>
    <row r="7" spans="3:16" ht="39" x14ac:dyDescent="0.25">
      <c r="C7" s="277" t="s">
        <v>251</v>
      </c>
      <c r="D7" s="266">
        <v>1</v>
      </c>
      <c r="E7" s="266">
        <v>1</v>
      </c>
      <c r="F7" s="267" t="s">
        <v>260</v>
      </c>
      <c r="G7" s="253">
        <v>1</v>
      </c>
      <c r="H7" s="253">
        <v>0.75</v>
      </c>
      <c r="I7" s="253">
        <v>0.75</v>
      </c>
      <c r="J7" s="282"/>
      <c r="K7" s="282"/>
      <c r="M7">
        <v>63</v>
      </c>
      <c r="N7">
        <v>100</v>
      </c>
    </row>
    <row r="8" spans="3:16" ht="30" x14ac:dyDescent="0.25">
      <c r="C8" s="775" t="s">
        <v>267</v>
      </c>
      <c r="D8" s="265">
        <v>88</v>
      </c>
      <c r="E8" s="265">
        <v>0</v>
      </c>
      <c r="F8" s="268" t="s">
        <v>261</v>
      </c>
      <c r="G8" s="269">
        <v>0</v>
      </c>
      <c r="H8" s="269">
        <v>0</v>
      </c>
      <c r="I8" s="266">
        <v>0</v>
      </c>
      <c r="J8" s="283"/>
      <c r="K8" s="283"/>
      <c r="M8">
        <v>85</v>
      </c>
      <c r="N8" s="256">
        <f>63/85</f>
        <v>0.74117647058823533</v>
      </c>
      <c r="P8" s="255">
        <f>85/63</f>
        <v>1.3492063492063493</v>
      </c>
    </row>
    <row r="9" spans="3:16" ht="75" x14ac:dyDescent="0.25">
      <c r="C9" s="775"/>
      <c r="D9" s="269">
        <v>430</v>
      </c>
      <c r="E9" s="269">
        <v>100</v>
      </c>
      <c r="F9" s="268" t="s">
        <v>262</v>
      </c>
      <c r="G9" s="253">
        <v>1</v>
      </c>
      <c r="H9" s="253">
        <v>0.75</v>
      </c>
      <c r="I9" s="253">
        <v>0.75</v>
      </c>
      <c r="J9" s="282"/>
      <c r="K9" s="282"/>
    </row>
    <row r="10" spans="3:16" ht="90" x14ac:dyDescent="0.25">
      <c r="C10" s="775"/>
      <c r="D10" s="253">
        <v>1</v>
      </c>
      <c r="E10" s="253">
        <v>1</v>
      </c>
      <c r="F10" s="268" t="s">
        <v>263</v>
      </c>
      <c r="G10" s="253">
        <v>1</v>
      </c>
      <c r="H10" s="253">
        <v>0.6</v>
      </c>
      <c r="I10" s="253">
        <v>0.6</v>
      </c>
      <c r="J10" s="282"/>
      <c r="K10" s="282"/>
    </row>
    <row r="11" spans="3:16" ht="45" x14ac:dyDescent="0.25">
      <c r="C11" s="775"/>
      <c r="D11" s="253">
        <v>1</v>
      </c>
      <c r="E11" s="253">
        <v>1</v>
      </c>
      <c r="F11" s="268" t="s">
        <v>264</v>
      </c>
      <c r="G11" s="253">
        <v>1</v>
      </c>
      <c r="H11" s="253">
        <v>0.85</v>
      </c>
      <c r="I11" s="253">
        <v>0.85</v>
      </c>
      <c r="J11" s="282"/>
      <c r="K11" s="282"/>
    </row>
    <row r="12" spans="3:16" ht="90" x14ac:dyDescent="0.25">
      <c r="C12" s="775"/>
      <c r="D12" s="253">
        <v>1</v>
      </c>
      <c r="E12" s="253">
        <v>1</v>
      </c>
      <c r="F12" s="268" t="s">
        <v>268</v>
      </c>
      <c r="G12" s="253">
        <v>1</v>
      </c>
      <c r="H12" s="253">
        <v>0.95</v>
      </c>
      <c r="I12" s="253">
        <v>0.95</v>
      </c>
      <c r="J12" s="282"/>
      <c r="K12" s="282"/>
    </row>
    <row r="13" spans="3:16" ht="45" x14ac:dyDescent="0.25">
      <c r="C13" s="775"/>
      <c r="D13" s="253">
        <v>1</v>
      </c>
      <c r="E13" s="253">
        <v>1</v>
      </c>
      <c r="F13" s="268" t="s">
        <v>269</v>
      </c>
      <c r="G13" s="253">
        <v>1</v>
      </c>
      <c r="H13" s="253">
        <v>0.7</v>
      </c>
      <c r="I13" s="253">
        <f>H13</f>
        <v>0.7</v>
      </c>
      <c r="J13" s="282"/>
      <c r="K13" s="282"/>
    </row>
    <row r="14" spans="3:16" ht="45" x14ac:dyDescent="0.25">
      <c r="C14" s="775"/>
      <c r="D14" s="270">
        <v>4</v>
      </c>
      <c r="E14" s="270">
        <v>4</v>
      </c>
      <c r="F14" s="268" t="s">
        <v>270</v>
      </c>
      <c r="G14" s="270">
        <v>4</v>
      </c>
      <c r="H14" s="270">
        <v>4</v>
      </c>
      <c r="I14" s="253">
        <v>1</v>
      </c>
      <c r="J14" s="282"/>
      <c r="K14" s="282"/>
    </row>
    <row r="15" spans="3:16" x14ac:dyDescent="0.25">
      <c r="C15" s="775"/>
      <c r="D15" s="270">
        <v>11</v>
      </c>
      <c r="E15" s="270">
        <v>11</v>
      </c>
      <c r="F15" s="254"/>
      <c r="G15" s="270">
        <v>11</v>
      </c>
      <c r="H15" s="270">
        <v>12</v>
      </c>
      <c r="I15" s="253">
        <v>1.0900000000000001</v>
      </c>
      <c r="J15" s="282"/>
      <c r="K15" s="282"/>
      <c r="M15">
        <v>50</v>
      </c>
      <c r="N15">
        <v>100</v>
      </c>
    </row>
    <row r="16" spans="3:16" ht="42.75" customHeight="1" x14ac:dyDescent="0.25">
      <c r="C16" s="775" t="s">
        <v>252</v>
      </c>
      <c r="D16" s="253">
        <v>1</v>
      </c>
      <c r="E16" s="253">
        <v>1</v>
      </c>
      <c r="F16" s="268" t="s">
        <v>271</v>
      </c>
      <c r="G16" s="253">
        <v>1</v>
      </c>
      <c r="H16" s="253">
        <v>0.75</v>
      </c>
      <c r="I16" s="253">
        <f>H16</f>
        <v>0.75</v>
      </c>
      <c r="J16" s="282"/>
      <c r="K16" s="282"/>
      <c r="M16">
        <v>73</v>
      </c>
      <c r="N16" s="256">
        <f>73/50</f>
        <v>1.46</v>
      </c>
      <c r="P16" s="255">
        <f>73/50</f>
        <v>1.46</v>
      </c>
    </row>
    <row r="17" spans="3:24" x14ac:dyDescent="0.25">
      <c r="C17" s="775"/>
      <c r="D17" s="271">
        <v>12</v>
      </c>
      <c r="E17" s="271">
        <v>12</v>
      </c>
      <c r="F17" s="272" t="s">
        <v>272</v>
      </c>
      <c r="G17" s="271">
        <v>12</v>
      </c>
      <c r="H17" s="273">
        <v>9</v>
      </c>
      <c r="I17" s="253">
        <v>0.76</v>
      </c>
      <c r="J17" s="282"/>
      <c r="K17" s="282"/>
    </row>
    <row r="18" spans="3:24" x14ac:dyDescent="0.25">
      <c r="C18" s="775" t="s">
        <v>253</v>
      </c>
      <c r="D18" s="265">
        <v>200</v>
      </c>
      <c r="E18" s="265">
        <v>200</v>
      </c>
      <c r="F18" s="272" t="s">
        <v>273</v>
      </c>
      <c r="G18" s="265">
        <v>200</v>
      </c>
      <c r="H18" s="265">
        <v>653</v>
      </c>
      <c r="I18" s="253">
        <v>3</v>
      </c>
      <c r="J18" s="282"/>
      <c r="K18" s="282"/>
      <c r="M18">
        <v>33</v>
      </c>
      <c r="N18">
        <v>100</v>
      </c>
    </row>
    <row r="19" spans="3:24" ht="60" x14ac:dyDescent="0.25">
      <c r="C19" s="775"/>
      <c r="D19" s="269">
        <v>9</v>
      </c>
      <c r="E19" s="269">
        <v>3</v>
      </c>
      <c r="F19" s="268" t="s">
        <v>274</v>
      </c>
      <c r="G19" s="269">
        <v>3</v>
      </c>
      <c r="H19" s="274">
        <v>1</v>
      </c>
      <c r="I19" s="253">
        <v>0.33</v>
      </c>
      <c r="J19" s="282"/>
      <c r="K19" s="282"/>
      <c r="M19">
        <v>41</v>
      </c>
      <c r="N19" s="257">
        <f>M19/33</f>
        <v>1.2424242424242424</v>
      </c>
      <c r="P19" s="255">
        <f>41/33</f>
        <v>1.2424242424242424</v>
      </c>
    </row>
    <row r="20" spans="3:24" ht="39" x14ac:dyDescent="0.25">
      <c r="C20" s="775"/>
      <c r="D20" s="269">
        <v>600</v>
      </c>
      <c r="E20" s="269">
        <v>200</v>
      </c>
      <c r="F20" s="267" t="s">
        <v>275</v>
      </c>
      <c r="G20" s="269">
        <v>200</v>
      </c>
      <c r="H20" s="269">
        <v>70</v>
      </c>
      <c r="I20" s="275">
        <v>0.66</v>
      </c>
      <c r="J20" s="284"/>
      <c r="K20" s="284"/>
    </row>
    <row r="21" spans="3:24" ht="60" x14ac:dyDescent="0.25">
      <c r="C21" s="775" t="s">
        <v>254</v>
      </c>
      <c r="D21" s="253">
        <v>1</v>
      </c>
      <c r="E21" s="253">
        <v>1</v>
      </c>
      <c r="F21" s="268" t="s">
        <v>276</v>
      </c>
      <c r="G21" s="253">
        <v>1</v>
      </c>
      <c r="H21" s="253">
        <v>0.75</v>
      </c>
      <c r="I21" s="253">
        <v>0.75</v>
      </c>
      <c r="J21" s="282"/>
      <c r="K21" s="282"/>
      <c r="M21">
        <v>35</v>
      </c>
      <c r="N21">
        <v>100</v>
      </c>
    </row>
    <row r="22" spans="3:24" x14ac:dyDescent="0.25">
      <c r="C22" s="775"/>
      <c r="D22" s="254" t="s">
        <v>278</v>
      </c>
      <c r="E22" s="254">
        <v>17</v>
      </c>
      <c r="F22" s="254"/>
      <c r="G22" s="265">
        <v>17</v>
      </c>
      <c r="H22" s="265">
        <v>8</v>
      </c>
      <c r="I22" s="253">
        <v>0.61</v>
      </c>
      <c r="J22" s="282"/>
      <c r="K22" s="282"/>
      <c r="M22">
        <v>75</v>
      </c>
      <c r="N22" s="257">
        <f>35/75</f>
        <v>0.46666666666666667</v>
      </c>
    </row>
    <row r="23" spans="3:24" ht="48.75" customHeight="1" x14ac:dyDescent="0.25">
      <c r="C23" s="254" t="s">
        <v>255</v>
      </c>
      <c r="D23" s="253">
        <v>1</v>
      </c>
      <c r="E23" s="253">
        <v>1</v>
      </c>
      <c r="F23" s="268" t="s">
        <v>277</v>
      </c>
      <c r="G23" s="253">
        <v>1</v>
      </c>
      <c r="H23" s="276">
        <v>0.66</v>
      </c>
      <c r="I23" s="276">
        <v>0.66</v>
      </c>
      <c r="J23" s="285"/>
      <c r="K23" s="285"/>
      <c r="L23" s="259"/>
      <c r="M23" s="259"/>
      <c r="N23" s="259"/>
      <c r="O23" s="259"/>
      <c r="P23" s="259"/>
      <c r="Q23" s="259"/>
      <c r="R23" s="259"/>
      <c r="S23" s="259"/>
      <c r="T23" s="259"/>
      <c r="U23" s="259"/>
      <c r="V23" s="259"/>
      <c r="W23" s="259"/>
      <c r="X23" s="259"/>
    </row>
    <row r="24" spans="3:24" ht="60" x14ac:dyDescent="0.25">
      <c r="C24" s="254" t="s">
        <v>256</v>
      </c>
      <c r="D24" s="253">
        <v>1</v>
      </c>
      <c r="E24" s="266">
        <v>0.75</v>
      </c>
      <c r="F24" s="268" t="s">
        <v>279</v>
      </c>
      <c r="G24" s="253">
        <v>1</v>
      </c>
      <c r="H24" s="266">
        <v>0.75</v>
      </c>
      <c r="I24" s="253">
        <v>0.75</v>
      </c>
      <c r="J24" s="282"/>
      <c r="K24" s="282"/>
      <c r="M24">
        <v>100</v>
      </c>
      <c r="N24">
        <v>100</v>
      </c>
    </row>
    <row r="25" spans="3:24" x14ac:dyDescent="0.25">
      <c r="M25">
        <v>75</v>
      </c>
      <c r="N25" s="255">
        <f>75/100</f>
        <v>0.75</v>
      </c>
    </row>
  </sheetData>
  <mergeCells count="4">
    <mergeCell ref="C8:C15"/>
    <mergeCell ref="C16:C17"/>
    <mergeCell ref="C18:C20"/>
    <mergeCell ref="C21:C22"/>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D33BE-FB36-443F-9569-1D9EB17F2841}">
  <dimension ref="A1:K24"/>
  <sheetViews>
    <sheetView topLeftCell="A3" zoomScale="71" zoomScaleNormal="71" workbookViewId="0">
      <selection activeCell="F9" sqref="F9"/>
    </sheetView>
  </sheetViews>
  <sheetFormatPr baseColWidth="10" defaultRowHeight="15" x14ac:dyDescent="0.25"/>
  <cols>
    <col min="1" max="1" width="39.140625" customWidth="1"/>
    <col min="2" max="2" width="60.28515625" customWidth="1"/>
    <col min="3" max="4" width="17.28515625" customWidth="1"/>
    <col min="5" max="5" width="19.5703125" customWidth="1"/>
    <col min="6" max="6" width="32.140625" customWidth="1"/>
    <col min="7" max="7" width="26.7109375" customWidth="1"/>
    <col min="8" max="8" width="16" customWidth="1"/>
    <col min="9" max="9" width="23.140625" customWidth="1"/>
    <col min="10" max="10" width="23.7109375" customWidth="1"/>
  </cols>
  <sheetData>
    <row r="1" spans="1:11" ht="15" customHeight="1" x14ac:dyDescent="0.25">
      <c r="A1" s="776" t="s">
        <v>212</v>
      </c>
      <c r="B1" s="777"/>
      <c r="C1" s="777"/>
      <c r="D1" s="777"/>
      <c r="E1" s="777"/>
      <c r="F1" s="777"/>
      <c r="G1" s="777"/>
      <c r="H1" s="777"/>
      <c r="I1" s="777"/>
      <c r="J1" s="777"/>
    </row>
    <row r="2" spans="1:11" ht="15" customHeight="1" x14ac:dyDescent="0.25">
      <c r="A2" s="778"/>
      <c r="B2" s="779"/>
      <c r="C2" s="779"/>
      <c r="D2" s="779"/>
      <c r="E2" s="779"/>
      <c r="F2" s="779"/>
      <c r="G2" s="779"/>
      <c r="H2" s="779"/>
      <c r="I2" s="779"/>
      <c r="J2" s="779"/>
    </row>
    <row r="3" spans="1:11" ht="30" x14ac:dyDescent="0.25">
      <c r="A3" s="261" t="s">
        <v>17</v>
      </c>
      <c r="B3" s="261" t="s">
        <v>68</v>
      </c>
      <c r="C3" s="261"/>
      <c r="D3" s="262" t="s">
        <v>265</v>
      </c>
      <c r="E3" s="262" t="s">
        <v>266</v>
      </c>
      <c r="F3" s="262" t="s">
        <v>16</v>
      </c>
      <c r="G3" s="262" t="s">
        <v>259</v>
      </c>
      <c r="H3" s="262" t="s">
        <v>282</v>
      </c>
      <c r="I3" s="262" t="s">
        <v>283</v>
      </c>
      <c r="J3" s="262" t="s">
        <v>284</v>
      </c>
    </row>
    <row r="4" spans="1:11" ht="71.25" customHeight="1" x14ac:dyDescent="0.25">
      <c r="A4" s="233" t="s">
        <v>19</v>
      </c>
      <c r="B4" s="233" t="s">
        <v>234</v>
      </c>
      <c r="C4" s="237" t="s">
        <v>223</v>
      </c>
      <c r="D4" s="234">
        <v>1</v>
      </c>
      <c r="E4" s="234">
        <v>0.5</v>
      </c>
      <c r="F4" s="233" t="s">
        <v>260</v>
      </c>
      <c r="G4" s="253">
        <v>1</v>
      </c>
      <c r="H4" s="253">
        <v>0.75</v>
      </c>
      <c r="I4" s="253">
        <v>0.75</v>
      </c>
      <c r="J4" s="252"/>
      <c r="K4">
        <f>100-75</f>
        <v>25</v>
      </c>
    </row>
    <row r="5" spans="1:11" ht="38.25" customHeight="1" x14ac:dyDescent="0.25">
      <c r="A5" s="741" t="s">
        <v>21</v>
      </c>
      <c r="B5" s="292" t="s">
        <v>235</v>
      </c>
      <c r="C5" s="293" t="s">
        <v>224</v>
      </c>
      <c r="D5" s="294">
        <v>0.88</v>
      </c>
      <c r="E5" s="294">
        <v>0</v>
      </c>
      <c r="F5" s="295" t="s">
        <v>261</v>
      </c>
      <c r="G5" s="296">
        <v>0</v>
      </c>
      <c r="H5" s="296">
        <v>0</v>
      </c>
      <c r="I5" s="297">
        <v>0</v>
      </c>
      <c r="J5" s="782">
        <f>AVERAGE(I5:I11)</f>
        <v>9.2342857142857149</v>
      </c>
    </row>
    <row r="6" spans="1:11" ht="45" customHeight="1" x14ac:dyDescent="0.25">
      <c r="A6" s="741"/>
      <c r="B6" s="298" t="s">
        <v>236</v>
      </c>
      <c r="C6" s="299" t="s">
        <v>225</v>
      </c>
      <c r="D6" s="294">
        <v>1</v>
      </c>
      <c r="E6" s="300">
        <v>1</v>
      </c>
      <c r="F6" s="295" t="s">
        <v>285</v>
      </c>
      <c r="G6" s="301">
        <v>1</v>
      </c>
      <c r="H6" s="301">
        <v>0.85</v>
      </c>
      <c r="I6" s="301">
        <v>0.75</v>
      </c>
      <c r="J6" s="783"/>
    </row>
    <row r="7" spans="1:11" ht="41.25" customHeight="1" x14ac:dyDescent="0.25">
      <c r="A7" s="741"/>
      <c r="B7" s="787" t="s">
        <v>237</v>
      </c>
      <c r="C7" s="293" t="s">
        <v>226</v>
      </c>
      <c r="D7" s="294">
        <v>1</v>
      </c>
      <c r="E7" s="300">
        <v>1</v>
      </c>
      <c r="F7" s="295" t="s">
        <v>263</v>
      </c>
      <c r="G7" s="301">
        <v>1</v>
      </c>
      <c r="H7" s="301">
        <v>0.6</v>
      </c>
      <c r="I7" s="301">
        <v>60</v>
      </c>
      <c r="J7" s="783"/>
    </row>
    <row r="8" spans="1:11" ht="41.25" customHeight="1" x14ac:dyDescent="0.25">
      <c r="A8" s="741"/>
      <c r="B8" s="788"/>
      <c r="C8" s="293" t="s">
        <v>226</v>
      </c>
      <c r="D8" s="294">
        <v>1</v>
      </c>
      <c r="E8" s="300">
        <v>1</v>
      </c>
      <c r="F8" s="295" t="s">
        <v>292</v>
      </c>
      <c r="G8" s="301">
        <v>1</v>
      </c>
      <c r="H8" s="301">
        <v>0.95</v>
      </c>
      <c r="I8" s="301">
        <v>0.95</v>
      </c>
      <c r="J8" s="783"/>
    </row>
    <row r="9" spans="1:11" ht="41.25" customHeight="1" x14ac:dyDescent="0.25">
      <c r="A9" s="741"/>
      <c r="B9" s="789"/>
      <c r="C9" s="293" t="s">
        <v>226</v>
      </c>
      <c r="D9" s="294">
        <v>1</v>
      </c>
      <c r="E9" s="300">
        <v>1</v>
      </c>
      <c r="F9" s="295" t="s">
        <v>291</v>
      </c>
      <c r="G9" s="301">
        <v>1</v>
      </c>
      <c r="H9" s="301">
        <v>0.85</v>
      </c>
      <c r="I9" s="301">
        <v>0.85</v>
      </c>
      <c r="J9" s="783"/>
    </row>
    <row r="10" spans="1:11" ht="30.75" customHeight="1" x14ac:dyDescent="0.25">
      <c r="A10" s="741"/>
      <c r="B10" s="298" t="s">
        <v>238</v>
      </c>
      <c r="C10" s="302" t="s">
        <v>227</v>
      </c>
      <c r="D10" s="302">
        <v>4</v>
      </c>
      <c r="E10" s="302">
        <v>4</v>
      </c>
      <c r="F10" s="295" t="s">
        <v>286</v>
      </c>
      <c r="G10" s="301">
        <v>1</v>
      </c>
      <c r="H10" s="301">
        <v>1</v>
      </c>
      <c r="I10" s="301">
        <v>1</v>
      </c>
      <c r="J10" s="783"/>
    </row>
    <row r="11" spans="1:11" ht="43.5" customHeight="1" x14ac:dyDescent="0.25">
      <c r="A11" s="741"/>
      <c r="B11" s="303" t="s">
        <v>239</v>
      </c>
      <c r="C11" s="302" t="s">
        <v>220</v>
      </c>
      <c r="D11" s="302">
        <v>11</v>
      </c>
      <c r="E11" s="302">
        <v>12</v>
      </c>
      <c r="F11" s="295" t="s">
        <v>289</v>
      </c>
      <c r="G11" s="301">
        <v>1</v>
      </c>
      <c r="H11" s="301">
        <v>1</v>
      </c>
      <c r="I11" s="301">
        <v>1.0900000000000001</v>
      </c>
      <c r="J11" s="784"/>
    </row>
    <row r="12" spans="1:11" ht="46.5" customHeight="1" x14ac:dyDescent="0.25">
      <c r="A12" s="741" t="s">
        <v>24</v>
      </c>
      <c r="B12" s="232" t="s">
        <v>240</v>
      </c>
      <c r="C12" s="237" t="s">
        <v>228</v>
      </c>
      <c r="D12" s="234">
        <v>1</v>
      </c>
      <c r="E12" s="263">
        <v>1</v>
      </c>
      <c r="F12" s="233" t="s">
        <v>271</v>
      </c>
      <c r="G12" s="253">
        <v>1</v>
      </c>
      <c r="H12" s="253">
        <v>0.7</v>
      </c>
      <c r="I12" s="253">
        <f>H12</f>
        <v>0.7</v>
      </c>
      <c r="J12" s="785"/>
    </row>
    <row r="13" spans="1:11" ht="46.5" customHeight="1" x14ac:dyDescent="0.25">
      <c r="A13" s="741"/>
      <c r="B13" s="232" t="s">
        <v>241</v>
      </c>
      <c r="C13" s="238" t="s">
        <v>221</v>
      </c>
      <c r="D13" s="271">
        <v>12</v>
      </c>
      <c r="E13" s="271">
        <v>12</v>
      </c>
      <c r="F13" s="233" t="s">
        <v>272</v>
      </c>
      <c r="G13" s="270">
        <v>12</v>
      </c>
      <c r="H13" s="270">
        <v>9</v>
      </c>
      <c r="I13" s="253">
        <v>0.76</v>
      </c>
      <c r="J13" s="786"/>
    </row>
    <row r="14" spans="1:11" ht="45" customHeight="1" x14ac:dyDescent="0.25">
      <c r="A14" s="741" t="s">
        <v>0</v>
      </c>
      <c r="B14" s="232" t="s">
        <v>242</v>
      </c>
      <c r="C14" s="239" t="s">
        <v>229</v>
      </c>
      <c r="D14" s="265">
        <v>200</v>
      </c>
      <c r="E14" s="265">
        <v>200</v>
      </c>
      <c r="F14" s="233" t="s">
        <v>273</v>
      </c>
      <c r="G14" s="270">
        <v>11</v>
      </c>
      <c r="H14" s="270">
        <v>12</v>
      </c>
      <c r="I14" s="253">
        <v>1.0900000000000001</v>
      </c>
      <c r="J14" s="782" t="s">
        <v>293</v>
      </c>
    </row>
    <row r="15" spans="1:11" ht="45" customHeight="1" x14ac:dyDescent="0.25">
      <c r="A15" s="741"/>
      <c r="B15" s="232" t="s">
        <v>244</v>
      </c>
      <c r="C15" s="237" t="s">
        <v>222</v>
      </c>
      <c r="D15" s="269">
        <v>9</v>
      </c>
      <c r="E15" s="269">
        <v>3</v>
      </c>
      <c r="F15" s="233" t="s">
        <v>274</v>
      </c>
      <c r="G15" s="253">
        <v>1</v>
      </c>
      <c r="H15" s="253">
        <v>0.75</v>
      </c>
      <c r="I15" s="253">
        <f>H15</f>
        <v>0.75</v>
      </c>
      <c r="J15" s="783"/>
    </row>
    <row r="16" spans="1:11" ht="45" customHeight="1" x14ac:dyDescent="0.25">
      <c r="A16" s="741"/>
      <c r="B16" s="232" t="s">
        <v>243</v>
      </c>
      <c r="C16" s="239" t="s">
        <v>230</v>
      </c>
      <c r="D16" s="269">
        <v>600</v>
      </c>
      <c r="E16" s="269">
        <v>200</v>
      </c>
      <c r="F16" s="233" t="s">
        <v>275</v>
      </c>
      <c r="G16" s="271">
        <v>200</v>
      </c>
      <c r="H16" s="273">
        <v>0</v>
      </c>
      <c r="I16" s="253">
        <v>0</v>
      </c>
      <c r="J16" s="783"/>
    </row>
    <row r="17" spans="1:10" ht="44.25" customHeight="1" x14ac:dyDescent="0.25">
      <c r="A17" s="780" t="s">
        <v>26</v>
      </c>
      <c r="B17" s="232" t="s">
        <v>245</v>
      </c>
      <c r="C17" s="239" t="s">
        <v>231</v>
      </c>
      <c r="D17" s="253">
        <v>1</v>
      </c>
      <c r="E17" s="253">
        <v>1</v>
      </c>
      <c r="F17" s="233" t="s">
        <v>276</v>
      </c>
      <c r="G17" s="265">
        <v>200</v>
      </c>
      <c r="H17" s="265">
        <v>653</v>
      </c>
      <c r="I17" s="253">
        <v>3</v>
      </c>
      <c r="J17" s="290"/>
    </row>
    <row r="18" spans="1:10" ht="44.25" customHeight="1" x14ac:dyDescent="0.25">
      <c r="A18" s="781"/>
      <c r="B18" s="232" t="s">
        <v>287</v>
      </c>
      <c r="C18" s="239" t="s">
        <v>288</v>
      </c>
      <c r="D18" s="253" t="s">
        <v>278</v>
      </c>
      <c r="E18" s="239">
        <v>17</v>
      </c>
      <c r="F18" s="233" t="s">
        <v>290</v>
      </c>
      <c r="G18" s="269">
        <v>3</v>
      </c>
      <c r="H18" s="274">
        <v>1</v>
      </c>
      <c r="I18" s="253">
        <v>0.33</v>
      </c>
      <c r="J18" s="290"/>
    </row>
    <row r="19" spans="1:10" ht="43.5" customHeight="1" x14ac:dyDescent="0.25">
      <c r="A19" s="232" t="s">
        <v>29</v>
      </c>
      <c r="B19" s="232" t="s">
        <v>246</v>
      </c>
      <c r="C19" s="237" t="s">
        <v>232</v>
      </c>
      <c r="D19" s="253">
        <v>1</v>
      </c>
      <c r="E19" s="253">
        <v>1</v>
      </c>
      <c r="F19" s="233" t="s">
        <v>277</v>
      </c>
      <c r="G19" s="269">
        <v>200</v>
      </c>
      <c r="H19" s="269">
        <v>70</v>
      </c>
      <c r="I19" s="275">
        <v>0.66</v>
      </c>
      <c r="J19" s="290"/>
    </row>
    <row r="20" spans="1:10" ht="74.25" customHeight="1" x14ac:dyDescent="0.25">
      <c r="A20" s="232" t="s">
        <v>1</v>
      </c>
      <c r="B20" s="232" t="s">
        <v>247</v>
      </c>
      <c r="C20" s="238" t="s">
        <v>233</v>
      </c>
      <c r="D20" s="253">
        <v>1</v>
      </c>
      <c r="E20" s="266">
        <v>0.75</v>
      </c>
      <c r="F20" s="233" t="s">
        <v>279</v>
      </c>
      <c r="G20" s="253">
        <v>1</v>
      </c>
      <c r="H20" s="253">
        <v>0.75</v>
      </c>
      <c r="I20" s="253">
        <v>0.75</v>
      </c>
      <c r="J20" s="291"/>
    </row>
    <row r="21" spans="1:10" x14ac:dyDescent="0.25">
      <c r="F21" s="287"/>
      <c r="G21" s="265">
        <v>17</v>
      </c>
      <c r="H21" s="265">
        <v>8</v>
      </c>
      <c r="I21" s="253">
        <v>0.61</v>
      </c>
    </row>
    <row r="22" spans="1:10" x14ac:dyDescent="0.25">
      <c r="B22" s="288"/>
      <c r="C22" s="288"/>
      <c r="D22" s="288"/>
      <c r="E22" s="288"/>
      <c r="F22" s="288"/>
      <c r="G22" s="253">
        <v>1</v>
      </c>
      <c r="H22" s="276">
        <v>0.66</v>
      </c>
      <c r="I22" s="276">
        <v>0.66</v>
      </c>
    </row>
    <row r="23" spans="1:10" x14ac:dyDescent="0.25">
      <c r="B23" s="288"/>
      <c r="C23" s="288"/>
      <c r="D23" s="288"/>
      <c r="E23" s="288"/>
      <c r="F23" s="289"/>
      <c r="G23" s="253">
        <v>1</v>
      </c>
      <c r="H23" s="266">
        <v>0.75</v>
      </c>
      <c r="I23" s="253">
        <v>0.75</v>
      </c>
    </row>
    <row r="24" spans="1:10" x14ac:dyDescent="0.25">
      <c r="B24" s="288"/>
      <c r="C24" s="288"/>
      <c r="D24" s="288"/>
      <c r="E24" s="288"/>
      <c r="F24" s="289"/>
    </row>
  </sheetData>
  <mergeCells count="9">
    <mergeCell ref="A1:J2"/>
    <mergeCell ref="A17:A18"/>
    <mergeCell ref="J5:J11"/>
    <mergeCell ref="J12:J13"/>
    <mergeCell ref="J14:J16"/>
    <mergeCell ref="B7:B9"/>
    <mergeCell ref="A5:A11"/>
    <mergeCell ref="A12:A13"/>
    <mergeCell ref="A14:A16"/>
  </mergeCells>
  <phoneticPr fontId="48" type="noConversion"/>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1C23E-B012-4F4D-BAC3-8BA7E3C647E4}">
  <dimension ref="H8:I10"/>
  <sheetViews>
    <sheetView workbookViewId="0">
      <selection activeCell="J15" sqref="J15"/>
    </sheetView>
  </sheetViews>
  <sheetFormatPr baseColWidth="10" defaultRowHeight="15" x14ac:dyDescent="0.25"/>
  <sheetData>
    <row r="8" spans="8:9" ht="15.75" thickBot="1" x14ac:dyDescent="0.3"/>
    <row r="9" spans="8:9" ht="16.5" thickBot="1" x14ac:dyDescent="0.3">
      <c r="H9" s="316" t="s">
        <v>328</v>
      </c>
      <c r="I9" s="240">
        <v>0.98</v>
      </c>
    </row>
    <row r="10" spans="8:9" ht="17.25" thickTop="1" thickBot="1" x14ac:dyDescent="0.3">
      <c r="H10" s="317">
        <v>1</v>
      </c>
      <c r="I10" s="240">
        <v>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BD27"/>
  <sheetViews>
    <sheetView zoomScale="107" zoomScaleNormal="107" workbookViewId="0">
      <selection activeCell="BC9" sqref="BC9"/>
    </sheetView>
  </sheetViews>
  <sheetFormatPr baseColWidth="10" defaultColWidth="22.42578125" defaultRowHeight="11.25" x14ac:dyDescent="0.2"/>
  <cols>
    <col min="1" max="1" width="10.42578125" style="1" customWidth="1"/>
    <col min="2" max="2" width="22.5703125" style="1" customWidth="1"/>
    <col min="3" max="3" width="22.5703125" style="4" customWidth="1"/>
    <col min="4" max="4" width="11.28515625" style="1" customWidth="1"/>
    <col min="5" max="5" width="19.28515625" style="1" customWidth="1"/>
    <col min="6" max="6" width="53" style="1" customWidth="1"/>
    <col min="7" max="7" width="29.42578125" style="1" customWidth="1"/>
    <col min="8" max="8" width="6.28515625" style="1" customWidth="1"/>
    <col min="9" max="9" width="6.42578125" style="1" customWidth="1"/>
    <col min="10" max="15" width="5.42578125" style="1" customWidth="1"/>
    <col min="16" max="16" width="5.85546875" style="1" customWidth="1"/>
    <col min="17" max="17" width="6.5703125" style="1" customWidth="1"/>
    <col min="18" max="18" width="5.140625" style="1" customWidth="1"/>
    <col min="19" max="19" width="5.28515625" style="1" customWidth="1"/>
    <col min="20" max="20" width="5.42578125" style="1" customWidth="1"/>
    <col min="21" max="21" width="7.140625" style="1" customWidth="1"/>
    <col min="22" max="22" width="5.42578125" style="1" customWidth="1"/>
    <col min="23" max="23" width="4.5703125" style="1" customWidth="1"/>
    <col min="24" max="25" width="5.7109375" style="1" customWidth="1"/>
    <col min="26" max="26" width="5.42578125" style="1" customWidth="1"/>
    <col min="27" max="27" width="4.5703125" style="1" customWidth="1"/>
    <col min="28" max="28" width="5.42578125" style="1" customWidth="1"/>
    <col min="29" max="29" width="4.5703125" style="1" customWidth="1"/>
    <col min="30" max="30" width="5.42578125" style="1" customWidth="1"/>
    <col min="31" max="33" width="4.5703125" style="1" customWidth="1"/>
    <col min="34" max="34" width="5.42578125" style="1" customWidth="1"/>
    <col min="35" max="35" width="4.5703125" style="1" customWidth="1"/>
    <col min="36" max="36" width="5.42578125" style="1" customWidth="1"/>
    <col min="37" max="37" width="4.5703125" style="1" customWidth="1"/>
    <col min="38" max="38" width="5.42578125" style="1" customWidth="1"/>
    <col min="39" max="39" width="4.5703125" style="1" customWidth="1"/>
    <col min="40" max="40" width="5.28515625" style="1" customWidth="1"/>
    <col min="41" max="41" width="3.85546875" style="1" customWidth="1"/>
    <col min="42" max="47" width="5" style="1" customWidth="1"/>
    <col min="48" max="48" width="9.28515625" style="1" customWidth="1"/>
    <col min="49" max="49" width="10.140625" style="1" customWidth="1"/>
    <col min="50" max="50" width="7.140625" style="1" hidden="1" customWidth="1"/>
    <col min="51" max="51" width="7.5703125" style="1" hidden="1" customWidth="1"/>
    <col min="52" max="53" width="7.42578125" style="1" hidden="1" customWidth="1"/>
    <col min="54" max="54" width="10.42578125" style="1" customWidth="1"/>
    <col min="55" max="55" width="40" style="1" customWidth="1"/>
    <col min="56" max="56" width="12.85546875" style="1" customWidth="1"/>
    <col min="57" max="16384" width="22.42578125" style="1"/>
  </cols>
  <sheetData>
    <row r="1" spans="1:56" ht="21" customHeight="1" x14ac:dyDescent="0.2">
      <c r="A1" s="615"/>
      <c r="B1" s="615"/>
      <c r="C1" s="618" t="s">
        <v>130</v>
      </c>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618"/>
      <c r="AK1" s="618"/>
      <c r="AL1" s="618"/>
      <c r="AM1" s="618"/>
      <c r="AN1" s="618"/>
      <c r="AO1" s="618"/>
      <c r="AP1" s="618"/>
      <c r="AQ1" s="618"/>
      <c r="AR1" s="618"/>
      <c r="AS1" s="618"/>
      <c r="AT1" s="618"/>
      <c r="AU1" s="618"/>
      <c r="AV1" s="618"/>
      <c r="AW1" s="618"/>
      <c r="BC1" s="112" t="s">
        <v>141</v>
      </c>
    </row>
    <row r="2" spans="1:56" ht="27" customHeight="1" x14ac:dyDescent="0.2">
      <c r="A2" s="616"/>
      <c r="B2" s="616"/>
      <c r="C2" s="619"/>
      <c r="D2" s="619"/>
      <c r="E2" s="619"/>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c r="AE2" s="619"/>
      <c r="AF2" s="619"/>
      <c r="AG2" s="619"/>
      <c r="AH2" s="619"/>
      <c r="AI2" s="619"/>
      <c r="AJ2" s="619"/>
      <c r="AK2" s="619"/>
      <c r="AL2" s="619"/>
      <c r="AM2" s="619"/>
      <c r="AN2" s="619"/>
      <c r="AO2" s="619"/>
      <c r="AP2" s="619"/>
      <c r="AQ2" s="619"/>
      <c r="AR2" s="619"/>
      <c r="AS2" s="619"/>
      <c r="AT2" s="619"/>
      <c r="AU2" s="619"/>
      <c r="AV2" s="619"/>
      <c r="AW2" s="619"/>
      <c r="BC2" s="112" t="s">
        <v>143</v>
      </c>
    </row>
    <row r="3" spans="1:56" ht="34.5" customHeight="1" thickBot="1" x14ac:dyDescent="0.25">
      <c r="A3" s="617"/>
      <c r="B3" s="617"/>
      <c r="C3" s="620"/>
      <c r="D3" s="620"/>
      <c r="E3" s="620"/>
      <c r="F3" s="620"/>
      <c r="G3" s="620"/>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0"/>
      <c r="AH3" s="620"/>
      <c r="AI3" s="620"/>
      <c r="AJ3" s="620"/>
      <c r="AK3" s="620"/>
      <c r="AL3" s="620"/>
      <c r="AM3" s="620"/>
      <c r="AN3" s="620"/>
      <c r="AO3" s="620"/>
      <c r="AP3" s="620"/>
      <c r="AQ3" s="620"/>
      <c r="AR3" s="620"/>
      <c r="AS3" s="620"/>
      <c r="AT3" s="620"/>
      <c r="AU3" s="620"/>
      <c r="AV3" s="620"/>
      <c r="AW3" s="620"/>
      <c r="BC3" s="112" t="s">
        <v>142</v>
      </c>
    </row>
    <row r="4" spans="1:56" ht="12" customHeight="1" thickBot="1" x14ac:dyDescent="0.25">
      <c r="A4" s="2"/>
      <c r="B4" s="2"/>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6"/>
      <c r="AW4" s="6"/>
      <c r="AX4" s="6"/>
      <c r="AY4" s="6"/>
      <c r="AZ4" s="6"/>
      <c r="BA4" s="6"/>
      <c r="BB4" s="6"/>
    </row>
    <row r="5" spans="1:56" ht="22.5" customHeight="1" x14ac:dyDescent="0.2">
      <c r="A5" s="621" t="s">
        <v>51</v>
      </c>
      <c r="B5" s="592" t="s">
        <v>17</v>
      </c>
      <c r="C5" s="592" t="s">
        <v>18</v>
      </c>
      <c r="D5" s="802" t="s">
        <v>154</v>
      </c>
      <c r="E5" s="592" t="s">
        <v>16</v>
      </c>
      <c r="F5" s="592" t="s">
        <v>15</v>
      </c>
      <c r="G5" s="592" t="s">
        <v>14</v>
      </c>
      <c r="H5" s="804" t="s">
        <v>148</v>
      </c>
      <c r="I5" s="805"/>
      <c r="J5" s="594" t="s">
        <v>147</v>
      </c>
      <c r="K5" s="595"/>
      <c r="L5" s="595"/>
      <c r="M5" s="595"/>
      <c r="N5" s="595"/>
      <c r="O5" s="595"/>
      <c r="P5" s="595"/>
      <c r="Q5" s="595"/>
      <c r="R5" s="595"/>
      <c r="S5" s="596"/>
      <c r="T5" s="118"/>
      <c r="U5" s="118"/>
      <c r="V5" s="118"/>
      <c r="W5" s="118"/>
      <c r="X5" s="118"/>
      <c r="Y5" s="118"/>
      <c r="Z5" s="118"/>
      <c r="AA5" s="118"/>
      <c r="AB5" s="118"/>
      <c r="AC5" s="118"/>
      <c r="AD5" s="118"/>
      <c r="AE5" s="118"/>
      <c r="AF5" s="118"/>
      <c r="AG5" s="118"/>
      <c r="AH5" s="118"/>
      <c r="AI5" s="118"/>
      <c r="AJ5" s="118"/>
      <c r="AK5" s="118"/>
      <c r="AL5" s="118"/>
      <c r="AM5" s="118"/>
      <c r="AN5" s="118"/>
      <c r="AO5" s="118"/>
      <c r="AP5" s="597"/>
      <c r="AQ5" s="598"/>
      <c r="AR5" s="598"/>
      <c r="AS5" s="598"/>
      <c r="AT5" s="598"/>
      <c r="AU5" s="599"/>
      <c r="AV5" s="600">
        <v>2021</v>
      </c>
      <c r="AW5" s="600"/>
      <c r="AX5" s="602" t="s">
        <v>9</v>
      </c>
      <c r="AY5" s="603"/>
      <c r="AZ5" s="603"/>
      <c r="BA5" s="604"/>
      <c r="BB5" s="600" t="s">
        <v>8</v>
      </c>
      <c r="BC5" s="608" t="s">
        <v>134</v>
      </c>
      <c r="BD5" s="798" t="s">
        <v>140</v>
      </c>
    </row>
    <row r="6" spans="1:56" ht="18" customHeight="1" x14ac:dyDescent="0.2">
      <c r="A6" s="622"/>
      <c r="B6" s="593"/>
      <c r="C6" s="593"/>
      <c r="D6" s="803"/>
      <c r="E6" s="593"/>
      <c r="F6" s="593"/>
      <c r="G6" s="593"/>
      <c r="H6" s="806"/>
      <c r="I6" s="807"/>
      <c r="J6" s="613" t="s">
        <v>110</v>
      </c>
      <c r="K6" s="613"/>
      <c r="L6" s="613" t="s">
        <v>111</v>
      </c>
      <c r="M6" s="613"/>
      <c r="N6" s="613" t="s">
        <v>112</v>
      </c>
      <c r="O6" s="613"/>
      <c r="P6" s="801" t="s">
        <v>13</v>
      </c>
      <c r="Q6" s="801"/>
      <c r="R6" s="613" t="s">
        <v>113</v>
      </c>
      <c r="S6" s="613"/>
      <c r="T6" s="613" t="s">
        <v>114</v>
      </c>
      <c r="U6" s="613"/>
      <c r="V6" s="613" t="s">
        <v>115</v>
      </c>
      <c r="W6" s="613"/>
      <c r="X6" s="612" t="s">
        <v>12</v>
      </c>
      <c r="Y6" s="612"/>
      <c r="Z6" s="613" t="s">
        <v>116</v>
      </c>
      <c r="AA6" s="613"/>
      <c r="AB6" s="613" t="s">
        <v>117</v>
      </c>
      <c r="AC6" s="613"/>
      <c r="AD6" s="613" t="s">
        <v>118</v>
      </c>
      <c r="AE6" s="613"/>
      <c r="AF6" s="612" t="s">
        <v>11</v>
      </c>
      <c r="AG6" s="612"/>
      <c r="AH6" s="613" t="s">
        <v>119</v>
      </c>
      <c r="AI6" s="613"/>
      <c r="AJ6" s="613" t="s">
        <v>120</v>
      </c>
      <c r="AK6" s="613"/>
      <c r="AL6" s="613" t="s">
        <v>121</v>
      </c>
      <c r="AM6" s="613"/>
      <c r="AN6" s="612" t="s">
        <v>10</v>
      </c>
      <c r="AO6" s="612"/>
      <c r="AP6" s="614">
        <v>2022</v>
      </c>
      <c r="AQ6" s="614"/>
      <c r="AR6" s="614">
        <v>2023</v>
      </c>
      <c r="AS6" s="614"/>
      <c r="AT6" s="614">
        <v>2024</v>
      </c>
      <c r="AU6" s="614"/>
      <c r="AV6" s="601"/>
      <c r="AW6" s="601"/>
      <c r="AX6" s="605"/>
      <c r="AY6" s="606"/>
      <c r="AZ6" s="606"/>
      <c r="BA6" s="607"/>
      <c r="BB6" s="601"/>
      <c r="BC6" s="609"/>
      <c r="BD6" s="799"/>
    </row>
    <row r="7" spans="1:56" s="3" customFormat="1" ht="26.25" customHeight="1" thickBot="1" x14ac:dyDescent="0.3">
      <c r="A7" s="622"/>
      <c r="B7" s="593"/>
      <c r="C7" s="593"/>
      <c r="D7" s="803"/>
      <c r="E7" s="593"/>
      <c r="F7" s="593"/>
      <c r="G7" s="593"/>
      <c r="H7" s="7" t="s">
        <v>7</v>
      </c>
      <c r="I7" s="7" t="s">
        <v>6</v>
      </c>
      <c r="J7" s="9" t="s">
        <v>7</v>
      </c>
      <c r="K7" s="115" t="s">
        <v>6</v>
      </c>
      <c r="L7" s="9" t="s">
        <v>7</v>
      </c>
      <c r="M7" s="115" t="s">
        <v>6</v>
      </c>
      <c r="N7" s="9" t="s">
        <v>7</v>
      </c>
      <c r="O7" s="115" t="s">
        <v>6</v>
      </c>
      <c r="P7" s="82" t="s">
        <v>7</v>
      </c>
      <c r="Q7" s="116" t="s">
        <v>6</v>
      </c>
      <c r="R7" s="9" t="s">
        <v>7</v>
      </c>
      <c r="S7" s="115" t="s">
        <v>6</v>
      </c>
      <c r="T7" s="9" t="s">
        <v>7</v>
      </c>
      <c r="U7" s="115" t="s">
        <v>6</v>
      </c>
      <c r="V7" s="9" t="s">
        <v>7</v>
      </c>
      <c r="W7" s="115" t="s">
        <v>6</v>
      </c>
      <c r="X7" s="83" t="s">
        <v>7</v>
      </c>
      <c r="Y7" s="114" t="s">
        <v>6</v>
      </c>
      <c r="Z7" s="9" t="s">
        <v>7</v>
      </c>
      <c r="AA7" s="115" t="s">
        <v>6</v>
      </c>
      <c r="AB7" s="9" t="s">
        <v>7</v>
      </c>
      <c r="AC7" s="115" t="s">
        <v>6</v>
      </c>
      <c r="AD7" s="9" t="s">
        <v>7</v>
      </c>
      <c r="AE7" s="115" t="s">
        <v>6</v>
      </c>
      <c r="AF7" s="83" t="s">
        <v>7</v>
      </c>
      <c r="AG7" s="114" t="s">
        <v>6</v>
      </c>
      <c r="AH7" s="9" t="s">
        <v>7</v>
      </c>
      <c r="AI7" s="115" t="s">
        <v>6</v>
      </c>
      <c r="AJ7" s="9" t="s">
        <v>7</v>
      </c>
      <c r="AK7" s="115" t="s">
        <v>6</v>
      </c>
      <c r="AL7" s="9" t="s">
        <v>7</v>
      </c>
      <c r="AM7" s="115" t="s">
        <v>6</v>
      </c>
      <c r="AN7" s="83" t="s">
        <v>7</v>
      </c>
      <c r="AO7" s="114" t="s">
        <v>6</v>
      </c>
      <c r="AP7" s="8" t="s">
        <v>7</v>
      </c>
      <c r="AQ7" s="8" t="s">
        <v>6</v>
      </c>
      <c r="AR7" s="8" t="s">
        <v>7</v>
      </c>
      <c r="AS7" s="8" t="s">
        <v>6</v>
      </c>
      <c r="AT7" s="8" t="s">
        <v>7</v>
      </c>
      <c r="AU7" s="8" t="s">
        <v>6</v>
      </c>
      <c r="AV7" s="113" t="s">
        <v>7</v>
      </c>
      <c r="AW7" s="113" t="s">
        <v>6</v>
      </c>
      <c r="AX7" s="113" t="s">
        <v>5</v>
      </c>
      <c r="AY7" s="113" t="s">
        <v>4</v>
      </c>
      <c r="AZ7" s="113" t="s">
        <v>3</v>
      </c>
      <c r="BA7" s="113" t="s">
        <v>2</v>
      </c>
      <c r="BB7" s="601"/>
      <c r="BC7" s="609"/>
      <c r="BD7" s="800"/>
    </row>
    <row r="8" spans="1:56" ht="84.75" customHeight="1" x14ac:dyDescent="0.2">
      <c r="A8" s="579" t="s">
        <v>45</v>
      </c>
      <c r="B8" s="581" t="s">
        <v>19</v>
      </c>
      <c r="C8" s="11" t="s">
        <v>20</v>
      </c>
      <c r="D8" s="12">
        <v>0.5</v>
      </c>
      <c r="E8" s="10" t="s">
        <v>78</v>
      </c>
      <c r="F8" s="13" t="s">
        <v>44</v>
      </c>
      <c r="G8" s="14" t="s">
        <v>135</v>
      </c>
      <c r="H8" s="12">
        <v>1</v>
      </c>
      <c r="I8" s="12">
        <v>1</v>
      </c>
      <c r="J8" s="15">
        <v>0.08</v>
      </c>
      <c r="K8" s="16">
        <v>0.08</v>
      </c>
      <c r="L8" s="15">
        <v>0.08</v>
      </c>
      <c r="M8" s="16">
        <v>0.08</v>
      </c>
      <c r="N8" s="15">
        <v>0.08</v>
      </c>
      <c r="O8" s="16">
        <v>0.08</v>
      </c>
      <c r="P8" s="17">
        <f t="shared" ref="P8:Q23" si="0">SUM(J8,L8,N8)</f>
        <v>0.24</v>
      </c>
      <c r="Q8" s="17">
        <f t="shared" si="0"/>
        <v>0.24</v>
      </c>
      <c r="R8" s="15">
        <v>0.09</v>
      </c>
      <c r="S8" s="16">
        <v>0.09</v>
      </c>
      <c r="T8" s="15">
        <v>0.1</v>
      </c>
      <c r="U8" s="16"/>
      <c r="V8" s="15">
        <v>0.08</v>
      </c>
      <c r="W8" s="16"/>
      <c r="X8" s="17">
        <f t="shared" ref="X8:Y23" si="1">SUM(R8,T8,V8)</f>
        <v>0.27</v>
      </c>
      <c r="Y8" s="17">
        <f t="shared" si="1"/>
        <v>0.09</v>
      </c>
      <c r="Z8" s="15">
        <v>0.08</v>
      </c>
      <c r="AA8" s="18"/>
      <c r="AB8" s="15">
        <v>0.08</v>
      </c>
      <c r="AC8" s="18"/>
      <c r="AD8" s="15">
        <v>0.09</v>
      </c>
      <c r="AE8" s="19"/>
      <c r="AF8" s="17">
        <f t="shared" ref="AF8:AG23" si="2">SUM(Z8,AB8,AD8)</f>
        <v>0.25</v>
      </c>
      <c r="AG8" s="17">
        <f t="shared" si="2"/>
        <v>0</v>
      </c>
      <c r="AH8" s="15">
        <v>0.08</v>
      </c>
      <c r="AI8" s="18"/>
      <c r="AJ8" s="15">
        <v>0.08</v>
      </c>
      <c r="AK8" s="18"/>
      <c r="AL8" s="15">
        <v>0.08</v>
      </c>
      <c r="AM8" s="19"/>
      <c r="AN8" s="17">
        <f t="shared" ref="AN8:AO23" si="3">SUM(AH8,AJ8,AL8)</f>
        <v>0.24</v>
      </c>
      <c r="AO8" s="17">
        <f t="shared" si="3"/>
        <v>0</v>
      </c>
      <c r="AP8" s="20">
        <v>1</v>
      </c>
      <c r="AQ8" s="20"/>
      <c r="AR8" s="20">
        <v>1</v>
      </c>
      <c r="AS8" s="20"/>
      <c r="AT8" s="20">
        <v>1</v>
      </c>
      <c r="AU8" s="20"/>
      <c r="AV8" s="21">
        <f t="shared" ref="AV8:AW22" si="4">SUM(P8,X8,AF8,AN8)</f>
        <v>1</v>
      </c>
      <c r="AW8" s="21">
        <f t="shared" si="4"/>
        <v>0.32999999999999996</v>
      </c>
      <c r="AX8" s="22">
        <f>IFERROR(Q8/P8,"")</f>
        <v>1</v>
      </c>
      <c r="AY8" s="22">
        <f t="shared" ref="AY8:AY27" si="5">IFERROR((Q8+Y8)/(P8+X8),"")</f>
        <v>0.64705882352941169</v>
      </c>
      <c r="AZ8" s="22">
        <f t="shared" ref="AZ8:AZ27" si="6">IFERROR((Q8+Y8+AG8)/(P8+X8+AF8),"")</f>
        <v>0.43421052631578944</v>
      </c>
      <c r="BA8" s="22">
        <f t="shared" ref="BA8:BA27" si="7">IFERROR((Q8+Y8+AG8+AO8)/(P8+X8+AF8+AN8),"")</f>
        <v>0.32999999999999996</v>
      </c>
      <c r="BB8" s="84">
        <f t="shared" ref="BB8:BB27" si="8">IFERROR(AW8/AV8,"")</f>
        <v>0.32999999999999996</v>
      </c>
      <c r="BC8" s="109" t="s">
        <v>107</v>
      </c>
      <c r="BD8" s="583">
        <v>0.16500000000000001</v>
      </c>
    </row>
    <row r="9" spans="1:56" ht="66" customHeight="1" x14ac:dyDescent="0.2">
      <c r="A9" s="580"/>
      <c r="B9" s="582"/>
      <c r="C9" s="11" t="s">
        <v>144</v>
      </c>
      <c r="D9" s="12">
        <v>0.5</v>
      </c>
      <c r="E9" s="10" t="s">
        <v>136</v>
      </c>
      <c r="F9" s="13" t="s">
        <v>137</v>
      </c>
      <c r="G9" s="14" t="s">
        <v>138</v>
      </c>
      <c r="H9" s="12">
        <v>0</v>
      </c>
      <c r="I9" s="12">
        <v>0</v>
      </c>
      <c r="J9" s="15">
        <v>0</v>
      </c>
      <c r="K9" s="16">
        <v>0</v>
      </c>
      <c r="L9" s="15">
        <v>0</v>
      </c>
      <c r="M9" s="16">
        <v>0</v>
      </c>
      <c r="N9" s="15">
        <v>0</v>
      </c>
      <c r="O9" s="16">
        <v>0</v>
      </c>
      <c r="P9" s="17">
        <f t="shared" si="0"/>
        <v>0</v>
      </c>
      <c r="Q9" s="17">
        <f t="shared" si="0"/>
        <v>0</v>
      </c>
      <c r="R9" s="15">
        <v>0</v>
      </c>
      <c r="S9" s="16">
        <v>0</v>
      </c>
      <c r="T9" s="15">
        <v>0</v>
      </c>
      <c r="U9" s="16"/>
      <c r="V9" s="15">
        <v>0.05</v>
      </c>
      <c r="W9" s="16"/>
      <c r="X9" s="17">
        <f t="shared" si="1"/>
        <v>0.05</v>
      </c>
      <c r="Y9" s="17">
        <f t="shared" si="1"/>
        <v>0</v>
      </c>
      <c r="Z9" s="15">
        <v>0.15</v>
      </c>
      <c r="AA9" s="18"/>
      <c r="AB9" s="15">
        <v>0.2</v>
      </c>
      <c r="AC9" s="18"/>
      <c r="AD9" s="15">
        <v>0.25</v>
      </c>
      <c r="AE9" s="19"/>
      <c r="AF9" s="17">
        <f t="shared" si="2"/>
        <v>0.6</v>
      </c>
      <c r="AG9" s="17">
        <f t="shared" si="2"/>
        <v>0</v>
      </c>
      <c r="AH9" s="15">
        <v>0.2</v>
      </c>
      <c r="AI9" s="18"/>
      <c r="AJ9" s="15">
        <v>0.15</v>
      </c>
      <c r="AK9" s="18"/>
      <c r="AL9" s="15">
        <v>0</v>
      </c>
      <c r="AM9" s="19"/>
      <c r="AN9" s="17">
        <f t="shared" si="3"/>
        <v>0.35</v>
      </c>
      <c r="AO9" s="17">
        <f t="shared" si="3"/>
        <v>0</v>
      </c>
      <c r="AP9" s="20">
        <v>1</v>
      </c>
      <c r="AQ9" s="20"/>
      <c r="AR9" s="20">
        <v>1</v>
      </c>
      <c r="AS9" s="20"/>
      <c r="AT9" s="20">
        <v>1</v>
      </c>
      <c r="AU9" s="20"/>
      <c r="AV9" s="21">
        <f t="shared" si="4"/>
        <v>1</v>
      </c>
      <c r="AW9" s="21">
        <f t="shared" si="4"/>
        <v>0</v>
      </c>
      <c r="AX9" s="22" t="str">
        <f>IFERROR(Q9/P9,"")</f>
        <v/>
      </c>
      <c r="AY9" s="22">
        <f t="shared" si="5"/>
        <v>0</v>
      </c>
      <c r="AZ9" s="22">
        <f t="shared" si="6"/>
        <v>0</v>
      </c>
      <c r="BA9" s="22">
        <f t="shared" si="7"/>
        <v>0</v>
      </c>
      <c r="BB9" s="84">
        <f t="shared" si="8"/>
        <v>0</v>
      </c>
      <c r="BC9" s="109" t="s">
        <v>145</v>
      </c>
      <c r="BD9" s="584"/>
    </row>
    <row r="10" spans="1:56" ht="80.25" customHeight="1" x14ac:dyDescent="0.2">
      <c r="A10" s="585" t="s">
        <v>46</v>
      </c>
      <c r="B10" s="586" t="s">
        <v>21</v>
      </c>
      <c r="C10" s="586" t="s">
        <v>22</v>
      </c>
      <c r="D10" s="24">
        <v>0.5</v>
      </c>
      <c r="E10" s="25" t="s">
        <v>31</v>
      </c>
      <c r="F10" s="26" t="s">
        <v>52</v>
      </c>
      <c r="G10" s="26" t="s">
        <v>52</v>
      </c>
      <c r="H10" s="24">
        <v>1</v>
      </c>
      <c r="I10" s="24">
        <v>1</v>
      </c>
      <c r="J10" s="20">
        <v>0</v>
      </c>
      <c r="K10" s="20">
        <v>0</v>
      </c>
      <c r="L10" s="20">
        <v>0</v>
      </c>
      <c r="M10" s="20">
        <v>0</v>
      </c>
      <c r="N10" s="20">
        <v>0</v>
      </c>
      <c r="O10" s="20">
        <v>0</v>
      </c>
      <c r="P10" s="17">
        <f t="shared" si="0"/>
        <v>0</v>
      </c>
      <c r="Q10" s="17">
        <f t="shared" si="0"/>
        <v>0</v>
      </c>
      <c r="R10" s="20">
        <v>0</v>
      </c>
      <c r="S10" s="20">
        <v>0</v>
      </c>
      <c r="T10" s="27">
        <v>0.125</v>
      </c>
      <c r="U10" s="20"/>
      <c r="V10" s="27">
        <v>0.125</v>
      </c>
      <c r="W10" s="20"/>
      <c r="X10" s="17">
        <f t="shared" si="1"/>
        <v>0.25</v>
      </c>
      <c r="Y10" s="17">
        <f t="shared" si="1"/>
        <v>0</v>
      </c>
      <c r="Z10" s="27">
        <v>0.125</v>
      </c>
      <c r="AA10" s="27"/>
      <c r="AB10" s="27">
        <v>0.125</v>
      </c>
      <c r="AC10" s="27"/>
      <c r="AD10" s="27">
        <v>0.125</v>
      </c>
      <c r="AE10" s="20"/>
      <c r="AF10" s="17">
        <f t="shared" si="2"/>
        <v>0.375</v>
      </c>
      <c r="AG10" s="17">
        <f t="shared" si="2"/>
        <v>0</v>
      </c>
      <c r="AH10" s="27">
        <v>0.125</v>
      </c>
      <c r="AI10" s="27"/>
      <c r="AJ10" s="27">
        <v>0.125</v>
      </c>
      <c r="AK10" s="27"/>
      <c r="AL10" s="27">
        <v>0.125</v>
      </c>
      <c r="AM10" s="20"/>
      <c r="AN10" s="17">
        <f t="shared" si="3"/>
        <v>0.375</v>
      </c>
      <c r="AO10" s="17">
        <f t="shared" si="3"/>
        <v>0</v>
      </c>
      <c r="AP10" s="28">
        <v>100</v>
      </c>
      <c r="AQ10" s="28"/>
      <c r="AR10" s="28">
        <v>100</v>
      </c>
      <c r="AS10" s="28"/>
      <c r="AT10" s="28">
        <v>100</v>
      </c>
      <c r="AU10" s="28"/>
      <c r="AV10" s="21">
        <f t="shared" si="4"/>
        <v>1</v>
      </c>
      <c r="AW10" s="21">
        <f t="shared" si="4"/>
        <v>0</v>
      </c>
      <c r="AX10" s="22" t="str">
        <f t="shared" ref="AX10:AX27" si="9">IFERROR(Q10/P10,"")</f>
        <v/>
      </c>
      <c r="AY10" s="22">
        <f t="shared" si="5"/>
        <v>0</v>
      </c>
      <c r="AZ10" s="22">
        <f t="shared" si="6"/>
        <v>0</v>
      </c>
      <c r="BA10" s="22">
        <f t="shared" si="7"/>
        <v>0</v>
      </c>
      <c r="BB10" s="84">
        <f t="shared" si="8"/>
        <v>0</v>
      </c>
      <c r="BC10" s="109" t="s">
        <v>79</v>
      </c>
      <c r="BD10" s="589">
        <v>6.8000000000000005E-2</v>
      </c>
    </row>
    <row r="11" spans="1:56" ht="65.25" customHeight="1" x14ac:dyDescent="0.2">
      <c r="A11" s="585"/>
      <c r="B11" s="587"/>
      <c r="C11" s="588"/>
      <c r="D11" s="24">
        <v>0.5</v>
      </c>
      <c r="E11" s="25" t="s">
        <v>32</v>
      </c>
      <c r="F11" s="26" t="s">
        <v>52</v>
      </c>
      <c r="G11" s="29" t="s">
        <v>53</v>
      </c>
      <c r="H11" s="24">
        <v>1</v>
      </c>
      <c r="I11" s="24">
        <v>1</v>
      </c>
      <c r="J11" s="20">
        <v>0</v>
      </c>
      <c r="K11" s="20">
        <v>0</v>
      </c>
      <c r="L11" s="20">
        <v>0</v>
      </c>
      <c r="M11" s="20">
        <v>0</v>
      </c>
      <c r="N11" s="20">
        <v>0</v>
      </c>
      <c r="O11" s="20">
        <v>0</v>
      </c>
      <c r="P11" s="17">
        <f t="shared" si="0"/>
        <v>0</v>
      </c>
      <c r="Q11" s="17">
        <f t="shared" si="0"/>
        <v>0</v>
      </c>
      <c r="R11" s="20">
        <v>0.05</v>
      </c>
      <c r="S11" s="20">
        <v>0.05</v>
      </c>
      <c r="T11" s="20">
        <v>0.05</v>
      </c>
      <c r="U11" s="20"/>
      <c r="V11" s="20">
        <v>0.1</v>
      </c>
      <c r="W11" s="20"/>
      <c r="X11" s="17">
        <f t="shared" si="1"/>
        <v>0.2</v>
      </c>
      <c r="Y11" s="17">
        <f t="shared" si="1"/>
        <v>0.05</v>
      </c>
      <c r="Z11" s="20">
        <v>0.15</v>
      </c>
      <c r="AA11" s="20"/>
      <c r="AB11" s="20">
        <v>0.15</v>
      </c>
      <c r="AC11" s="20"/>
      <c r="AD11" s="20">
        <v>0.1</v>
      </c>
      <c r="AE11" s="20"/>
      <c r="AF11" s="17">
        <f t="shared" si="2"/>
        <v>0.4</v>
      </c>
      <c r="AG11" s="17">
        <f t="shared" si="2"/>
        <v>0</v>
      </c>
      <c r="AH11" s="20">
        <v>0.1</v>
      </c>
      <c r="AI11" s="20"/>
      <c r="AJ11" s="20">
        <v>0.2</v>
      </c>
      <c r="AK11" s="20"/>
      <c r="AL11" s="20">
        <v>0.1</v>
      </c>
      <c r="AM11" s="20"/>
      <c r="AN11" s="17">
        <f t="shared" si="3"/>
        <v>0.4</v>
      </c>
      <c r="AO11" s="17">
        <f t="shared" si="3"/>
        <v>0</v>
      </c>
      <c r="AP11" s="28">
        <v>100</v>
      </c>
      <c r="AQ11" s="28"/>
      <c r="AR11" s="28">
        <v>100</v>
      </c>
      <c r="AS11" s="28"/>
      <c r="AT11" s="28">
        <v>100</v>
      </c>
      <c r="AU11" s="28"/>
      <c r="AV11" s="21">
        <f t="shared" si="4"/>
        <v>1</v>
      </c>
      <c r="AW11" s="21">
        <f t="shared" si="4"/>
        <v>0.05</v>
      </c>
      <c r="AX11" s="22" t="str">
        <f t="shared" si="9"/>
        <v/>
      </c>
      <c r="AY11" s="22">
        <f t="shared" si="5"/>
        <v>0.25</v>
      </c>
      <c r="AZ11" s="22">
        <f t="shared" si="6"/>
        <v>8.3333333333333329E-2</v>
      </c>
      <c r="BA11" s="22">
        <f t="shared" si="7"/>
        <v>0.05</v>
      </c>
      <c r="BB11" s="84">
        <f t="shared" si="8"/>
        <v>0.05</v>
      </c>
      <c r="BC11" s="109" t="s">
        <v>80</v>
      </c>
      <c r="BD11" s="590"/>
    </row>
    <row r="12" spans="1:56" ht="78.75" x14ac:dyDescent="0.2">
      <c r="A12" s="585"/>
      <c r="B12" s="587"/>
      <c r="C12" s="23" t="s">
        <v>23</v>
      </c>
      <c r="D12" s="24">
        <v>1</v>
      </c>
      <c r="E12" s="25" t="s">
        <v>33</v>
      </c>
      <c r="F12" s="26" t="s">
        <v>54</v>
      </c>
      <c r="G12" s="29" t="s">
        <v>55</v>
      </c>
      <c r="H12" s="24">
        <v>0</v>
      </c>
      <c r="I12" s="24">
        <v>0</v>
      </c>
      <c r="J12" s="20">
        <v>0</v>
      </c>
      <c r="K12" s="20">
        <v>0</v>
      </c>
      <c r="L12" s="20">
        <v>0</v>
      </c>
      <c r="M12" s="20">
        <v>0</v>
      </c>
      <c r="N12" s="20">
        <v>0</v>
      </c>
      <c r="O12" s="20">
        <v>0</v>
      </c>
      <c r="P12" s="30">
        <f t="shared" si="0"/>
        <v>0</v>
      </c>
      <c r="Q12" s="30">
        <f t="shared" si="0"/>
        <v>0</v>
      </c>
      <c r="R12" s="20">
        <v>0</v>
      </c>
      <c r="S12" s="20">
        <v>0</v>
      </c>
      <c r="T12" s="20">
        <v>0.1</v>
      </c>
      <c r="U12" s="20"/>
      <c r="V12" s="20">
        <v>0.1</v>
      </c>
      <c r="W12" s="20"/>
      <c r="X12" s="17">
        <f t="shared" si="1"/>
        <v>0.2</v>
      </c>
      <c r="Y12" s="17">
        <f t="shared" si="1"/>
        <v>0</v>
      </c>
      <c r="Z12" s="20">
        <v>0.2</v>
      </c>
      <c r="AA12" s="20"/>
      <c r="AB12" s="20">
        <v>0.2</v>
      </c>
      <c r="AC12" s="20"/>
      <c r="AD12" s="20">
        <v>0.2</v>
      </c>
      <c r="AE12" s="20"/>
      <c r="AF12" s="17">
        <f t="shared" si="2"/>
        <v>0.60000000000000009</v>
      </c>
      <c r="AG12" s="17">
        <f t="shared" si="2"/>
        <v>0</v>
      </c>
      <c r="AH12" s="20">
        <v>0.2</v>
      </c>
      <c r="AI12" s="20"/>
      <c r="AJ12" s="20">
        <v>0</v>
      </c>
      <c r="AK12" s="20"/>
      <c r="AL12" s="20">
        <v>0</v>
      </c>
      <c r="AM12" s="20"/>
      <c r="AN12" s="17">
        <f t="shared" si="3"/>
        <v>0.2</v>
      </c>
      <c r="AO12" s="17">
        <f t="shared" si="3"/>
        <v>0</v>
      </c>
      <c r="AP12" s="31"/>
      <c r="AQ12" s="31"/>
      <c r="AR12" s="31"/>
      <c r="AS12" s="31"/>
      <c r="AT12" s="31"/>
      <c r="AU12" s="31"/>
      <c r="AV12" s="21">
        <f t="shared" si="4"/>
        <v>1</v>
      </c>
      <c r="AW12" s="21">
        <f t="shared" si="4"/>
        <v>0</v>
      </c>
      <c r="AX12" s="22" t="str">
        <f t="shared" si="9"/>
        <v/>
      </c>
      <c r="AY12" s="22">
        <f t="shared" si="5"/>
        <v>0</v>
      </c>
      <c r="AZ12" s="22">
        <f t="shared" si="6"/>
        <v>0</v>
      </c>
      <c r="BA12" s="22">
        <f t="shared" si="7"/>
        <v>0</v>
      </c>
      <c r="BB12" s="84">
        <f t="shared" si="8"/>
        <v>0</v>
      </c>
      <c r="BC12" s="109" t="s">
        <v>82</v>
      </c>
      <c r="BD12" s="590"/>
    </row>
    <row r="13" spans="1:56" ht="66.75" customHeight="1" x14ac:dyDescent="0.2">
      <c r="A13" s="585"/>
      <c r="B13" s="587"/>
      <c r="C13" s="586" t="s">
        <v>66</v>
      </c>
      <c r="D13" s="24">
        <v>0.3</v>
      </c>
      <c r="E13" s="25" t="s">
        <v>65</v>
      </c>
      <c r="F13" s="26" t="s">
        <v>56</v>
      </c>
      <c r="G13" s="29" t="s">
        <v>83</v>
      </c>
      <c r="H13" s="24">
        <v>0</v>
      </c>
      <c r="I13" s="24">
        <v>0</v>
      </c>
      <c r="J13" s="28">
        <v>0.05</v>
      </c>
      <c r="K13" s="28">
        <v>0.05</v>
      </c>
      <c r="L13" s="28">
        <v>0.05</v>
      </c>
      <c r="M13" s="28">
        <v>0.05</v>
      </c>
      <c r="N13" s="28">
        <v>0.05</v>
      </c>
      <c r="O13" s="28">
        <v>0.05</v>
      </c>
      <c r="P13" s="32">
        <f t="shared" si="0"/>
        <v>0.15000000000000002</v>
      </c>
      <c r="Q13" s="32">
        <f t="shared" si="0"/>
        <v>0.15000000000000002</v>
      </c>
      <c r="R13" s="28">
        <v>0.1</v>
      </c>
      <c r="S13" s="28">
        <v>0.01</v>
      </c>
      <c r="T13" s="28">
        <v>0.1</v>
      </c>
      <c r="U13" s="28"/>
      <c r="V13" s="28">
        <v>0.1</v>
      </c>
      <c r="W13" s="28"/>
      <c r="X13" s="33">
        <f t="shared" si="1"/>
        <v>0.30000000000000004</v>
      </c>
      <c r="Y13" s="33">
        <f t="shared" si="1"/>
        <v>0.01</v>
      </c>
      <c r="Z13" s="28">
        <v>0.3</v>
      </c>
      <c r="AA13" s="28"/>
      <c r="AB13" s="28">
        <v>7.0000000000000007E-2</v>
      </c>
      <c r="AC13" s="28"/>
      <c r="AD13" s="28">
        <v>7.0000000000000007E-2</v>
      </c>
      <c r="AE13" s="28"/>
      <c r="AF13" s="33">
        <f t="shared" si="2"/>
        <v>0.44</v>
      </c>
      <c r="AG13" s="33">
        <f t="shared" si="2"/>
        <v>0</v>
      </c>
      <c r="AH13" s="28">
        <v>0.11</v>
      </c>
      <c r="AI13" s="28"/>
      <c r="AJ13" s="28">
        <v>0</v>
      </c>
      <c r="AK13" s="28"/>
      <c r="AL13" s="28">
        <v>0</v>
      </c>
      <c r="AM13" s="28"/>
      <c r="AN13" s="33">
        <f t="shared" si="3"/>
        <v>0.11</v>
      </c>
      <c r="AO13" s="33">
        <f t="shared" si="3"/>
        <v>0</v>
      </c>
      <c r="AP13" s="31"/>
      <c r="AQ13" s="31"/>
      <c r="AR13" s="31"/>
      <c r="AS13" s="31"/>
      <c r="AT13" s="31"/>
      <c r="AU13" s="31"/>
      <c r="AV13" s="34">
        <f t="shared" si="4"/>
        <v>1.0000000000000002</v>
      </c>
      <c r="AW13" s="34">
        <f t="shared" si="4"/>
        <v>0.16000000000000003</v>
      </c>
      <c r="AX13" s="22">
        <f t="shared" si="9"/>
        <v>1</v>
      </c>
      <c r="AY13" s="22">
        <f t="shared" si="5"/>
        <v>0.35555555555555557</v>
      </c>
      <c r="AZ13" s="22">
        <f t="shared" si="6"/>
        <v>0.17977528089887643</v>
      </c>
      <c r="BA13" s="22">
        <f t="shared" si="7"/>
        <v>0.16</v>
      </c>
      <c r="BB13" s="84">
        <f t="shared" si="8"/>
        <v>0.16</v>
      </c>
      <c r="BC13" s="109" t="s">
        <v>81</v>
      </c>
      <c r="BD13" s="590"/>
    </row>
    <row r="14" spans="1:56" ht="75.75" customHeight="1" x14ac:dyDescent="0.2">
      <c r="A14" s="585"/>
      <c r="B14" s="587"/>
      <c r="C14" s="587"/>
      <c r="D14" s="24">
        <v>0.35</v>
      </c>
      <c r="E14" s="25" t="s">
        <v>34</v>
      </c>
      <c r="F14" s="26" t="s">
        <v>57</v>
      </c>
      <c r="G14" s="29" t="s">
        <v>58</v>
      </c>
      <c r="H14" s="24">
        <v>0</v>
      </c>
      <c r="I14" s="24">
        <v>0</v>
      </c>
      <c r="J14" s="20">
        <v>0</v>
      </c>
      <c r="K14" s="20">
        <v>0</v>
      </c>
      <c r="L14" s="20">
        <v>0</v>
      </c>
      <c r="M14" s="20">
        <v>0</v>
      </c>
      <c r="N14" s="20">
        <v>0</v>
      </c>
      <c r="O14" s="20">
        <v>0</v>
      </c>
      <c r="P14" s="30">
        <f t="shared" si="0"/>
        <v>0</v>
      </c>
      <c r="Q14" s="30">
        <f t="shared" si="0"/>
        <v>0</v>
      </c>
      <c r="R14" s="20">
        <v>0</v>
      </c>
      <c r="S14" s="20">
        <v>0</v>
      </c>
      <c r="T14" s="20">
        <v>0</v>
      </c>
      <c r="U14" s="20"/>
      <c r="V14" s="20">
        <v>1</v>
      </c>
      <c r="W14" s="20"/>
      <c r="X14" s="30">
        <f t="shared" si="1"/>
        <v>1</v>
      </c>
      <c r="Y14" s="30">
        <f t="shared" si="1"/>
        <v>0</v>
      </c>
      <c r="Z14" s="20">
        <v>0</v>
      </c>
      <c r="AA14" s="20"/>
      <c r="AB14" s="20">
        <v>0</v>
      </c>
      <c r="AC14" s="20"/>
      <c r="AD14" s="20">
        <v>0</v>
      </c>
      <c r="AE14" s="20"/>
      <c r="AF14" s="30">
        <f t="shared" si="2"/>
        <v>0</v>
      </c>
      <c r="AG14" s="30">
        <f t="shared" si="2"/>
        <v>0</v>
      </c>
      <c r="AH14" s="20">
        <v>0</v>
      </c>
      <c r="AI14" s="20"/>
      <c r="AJ14" s="20">
        <v>0</v>
      </c>
      <c r="AK14" s="20"/>
      <c r="AL14" s="20">
        <v>0</v>
      </c>
      <c r="AM14" s="20"/>
      <c r="AN14" s="30">
        <f t="shared" si="3"/>
        <v>0</v>
      </c>
      <c r="AO14" s="30">
        <f t="shared" si="3"/>
        <v>0</v>
      </c>
      <c r="AP14" s="31"/>
      <c r="AQ14" s="31"/>
      <c r="AR14" s="31"/>
      <c r="AS14" s="31"/>
      <c r="AT14" s="31"/>
      <c r="AU14" s="31"/>
      <c r="AV14" s="21">
        <f t="shared" si="4"/>
        <v>1</v>
      </c>
      <c r="AW14" s="21">
        <f t="shared" si="4"/>
        <v>0</v>
      </c>
      <c r="AX14" s="22" t="str">
        <f t="shared" si="9"/>
        <v/>
      </c>
      <c r="AY14" s="22">
        <f t="shared" si="5"/>
        <v>0</v>
      </c>
      <c r="AZ14" s="22">
        <f t="shared" si="6"/>
        <v>0</v>
      </c>
      <c r="BA14" s="22">
        <f t="shared" si="7"/>
        <v>0</v>
      </c>
      <c r="BB14" s="84">
        <f t="shared" si="8"/>
        <v>0</v>
      </c>
      <c r="BC14" s="109" t="s">
        <v>84</v>
      </c>
      <c r="BD14" s="590"/>
    </row>
    <row r="15" spans="1:56" ht="112.15" customHeight="1" x14ac:dyDescent="0.2">
      <c r="A15" s="585"/>
      <c r="B15" s="588"/>
      <c r="C15" s="588"/>
      <c r="D15" s="24">
        <v>0.35</v>
      </c>
      <c r="E15" s="25" t="s">
        <v>35</v>
      </c>
      <c r="F15" s="26" t="s">
        <v>59</v>
      </c>
      <c r="G15" s="29" t="s">
        <v>60</v>
      </c>
      <c r="H15" s="24">
        <v>0</v>
      </c>
      <c r="I15" s="24">
        <v>0</v>
      </c>
      <c r="J15" s="20">
        <v>0</v>
      </c>
      <c r="K15" s="20">
        <v>0</v>
      </c>
      <c r="L15" s="20">
        <v>0</v>
      </c>
      <c r="M15" s="20">
        <v>0</v>
      </c>
      <c r="N15" s="20">
        <v>0.1</v>
      </c>
      <c r="O15" s="20">
        <v>0.1</v>
      </c>
      <c r="P15" s="30">
        <f t="shared" si="0"/>
        <v>0.1</v>
      </c>
      <c r="Q15" s="30">
        <f t="shared" si="0"/>
        <v>0.1</v>
      </c>
      <c r="R15" s="20">
        <v>0.1</v>
      </c>
      <c r="S15" s="20">
        <v>0.1</v>
      </c>
      <c r="T15" s="20">
        <v>0.1</v>
      </c>
      <c r="U15" s="20"/>
      <c r="V15" s="20">
        <v>0.1</v>
      </c>
      <c r="W15" s="20"/>
      <c r="X15" s="30">
        <f t="shared" si="1"/>
        <v>0.30000000000000004</v>
      </c>
      <c r="Y15" s="30">
        <f t="shared" si="1"/>
        <v>0.1</v>
      </c>
      <c r="Z15" s="20">
        <v>0.1</v>
      </c>
      <c r="AA15" s="20"/>
      <c r="AB15" s="20">
        <v>0.1</v>
      </c>
      <c r="AC15" s="20"/>
      <c r="AD15" s="20">
        <v>0.1</v>
      </c>
      <c r="AE15" s="20"/>
      <c r="AF15" s="30">
        <f t="shared" si="2"/>
        <v>0.30000000000000004</v>
      </c>
      <c r="AG15" s="30">
        <f t="shared" si="2"/>
        <v>0</v>
      </c>
      <c r="AH15" s="20">
        <v>0.1</v>
      </c>
      <c r="AI15" s="20"/>
      <c r="AJ15" s="20">
        <v>0.1</v>
      </c>
      <c r="AK15" s="20"/>
      <c r="AL15" s="20">
        <v>0.1</v>
      </c>
      <c r="AM15" s="35"/>
      <c r="AN15" s="30">
        <f t="shared" si="3"/>
        <v>0.30000000000000004</v>
      </c>
      <c r="AO15" s="30">
        <f t="shared" si="3"/>
        <v>0</v>
      </c>
      <c r="AP15" s="31"/>
      <c r="AQ15" s="31"/>
      <c r="AR15" s="31"/>
      <c r="AS15" s="31"/>
      <c r="AT15" s="31"/>
      <c r="AU15" s="31"/>
      <c r="AV15" s="21">
        <f t="shared" si="4"/>
        <v>1</v>
      </c>
      <c r="AW15" s="21">
        <f t="shared" si="4"/>
        <v>0.2</v>
      </c>
      <c r="AX15" s="22">
        <f t="shared" si="9"/>
        <v>1</v>
      </c>
      <c r="AY15" s="22">
        <f t="shared" si="5"/>
        <v>0.5</v>
      </c>
      <c r="AZ15" s="22">
        <f t="shared" si="6"/>
        <v>0.2857142857142857</v>
      </c>
      <c r="BA15" s="22">
        <f t="shared" si="7"/>
        <v>0.2</v>
      </c>
      <c r="BB15" s="84">
        <f t="shared" si="8"/>
        <v>0.2</v>
      </c>
      <c r="BC15" s="109" t="s">
        <v>151</v>
      </c>
      <c r="BD15" s="591"/>
    </row>
    <row r="16" spans="1:56" ht="81" customHeight="1" x14ac:dyDescent="0.2">
      <c r="A16" s="571" t="s">
        <v>47</v>
      </c>
      <c r="B16" s="572" t="s">
        <v>21</v>
      </c>
      <c r="C16" s="36" t="s">
        <v>129</v>
      </c>
      <c r="D16" s="37">
        <v>1</v>
      </c>
      <c r="E16" s="38" t="s">
        <v>36</v>
      </c>
      <c r="F16" s="39" t="s">
        <v>62</v>
      </c>
      <c r="G16" s="40" t="s">
        <v>63</v>
      </c>
      <c r="H16" s="41">
        <v>0</v>
      </c>
      <c r="I16" s="41">
        <v>0</v>
      </c>
      <c r="J16" s="28">
        <v>0</v>
      </c>
      <c r="K16" s="28">
        <v>0</v>
      </c>
      <c r="L16" s="28">
        <v>0</v>
      </c>
      <c r="M16" s="28">
        <v>0</v>
      </c>
      <c r="N16" s="28">
        <v>1</v>
      </c>
      <c r="O16" s="28">
        <v>1</v>
      </c>
      <c r="P16" s="33">
        <f t="shared" si="0"/>
        <v>1</v>
      </c>
      <c r="Q16" s="33">
        <f t="shared" si="0"/>
        <v>1</v>
      </c>
      <c r="R16" s="28">
        <v>0</v>
      </c>
      <c r="S16" s="28">
        <v>0</v>
      </c>
      <c r="T16" s="28">
        <v>0</v>
      </c>
      <c r="U16" s="28"/>
      <c r="V16" s="28">
        <v>1</v>
      </c>
      <c r="W16" s="28"/>
      <c r="X16" s="33">
        <f t="shared" si="1"/>
        <v>1</v>
      </c>
      <c r="Y16" s="33">
        <f t="shared" si="1"/>
        <v>0</v>
      </c>
      <c r="Z16" s="28">
        <v>0</v>
      </c>
      <c r="AA16" s="28"/>
      <c r="AB16" s="28">
        <v>1</v>
      </c>
      <c r="AC16" s="28"/>
      <c r="AD16" s="28">
        <v>0</v>
      </c>
      <c r="AE16" s="28"/>
      <c r="AF16" s="33">
        <f t="shared" si="2"/>
        <v>1</v>
      </c>
      <c r="AG16" s="33">
        <f t="shared" si="2"/>
        <v>0</v>
      </c>
      <c r="AH16" s="28">
        <v>1</v>
      </c>
      <c r="AI16" s="28"/>
      <c r="AJ16" s="28">
        <v>0</v>
      </c>
      <c r="AK16" s="28"/>
      <c r="AL16" s="28">
        <v>0</v>
      </c>
      <c r="AM16" s="28"/>
      <c r="AN16" s="33">
        <f t="shared" si="3"/>
        <v>1</v>
      </c>
      <c r="AO16" s="33">
        <f t="shared" si="3"/>
        <v>0</v>
      </c>
      <c r="AP16" s="42">
        <v>4</v>
      </c>
      <c r="AQ16" s="42"/>
      <c r="AR16" s="42">
        <v>4</v>
      </c>
      <c r="AS16" s="42"/>
      <c r="AT16" s="42">
        <v>4</v>
      </c>
      <c r="AU16" s="42"/>
      <c r="AV16" s="34">
        <f t="shared" si="4"/>
        <v>4</v>
      </c>
      <c r="AW16" s="34">
        <f t="shared" si="4"/>
        <v>1</v>
      </c>
      <c r="AX16" s="22">
        <f t="shared" si="9"/>
        <v>1</v>
      </c>
      <c r="AY16" s="22">
        <f t="shared" si="5"/>
        <v>0.5</v>
      </c>
      <c r="AZ16" s="22">
        <f t="shared" si="6"/>
        <v>0.33333333333333331</v>
      </c>
      <c r="BA16" s="22">
        <f t="shared" si="7"/>
        <v>0.25</v>
      </c>
      <c r="BB16" s="84">
        <f t="shared" si="8"/>
        <v>0.25</v>
      </c>
      <c r="BC16" s="109" t="s">
        <v>152</v>
      </c>
      <c r="BD16" s="574">
        <v>0.12</v>
      </c>
    </row>
    <row r="17" spans="1:56" ht="76.5" customHeight="1" x14ac:dyDescent="0.2">
      <c r="A17" s="571"/>
      <c r="B17" s="573"/>
      <c r="C17" s="36" t="s">
        <v>67</v>
      </c>
      <c r="D17" s="37">
        <v>1</v>
      </c>
      <c r="E17" s="38" t="s">
        <v>37</v>
      </c>
      <c r="F17" s="43" t="s">
        <v>109</v>
      </c>
      <c r="G17" s="44" t="s">
        <v>64</v>
      </c>
      <c r="H17" s="41">
        <v>0</v>
      </c>
      <c r="I17" s="41">
        <v>0</v>
      </c>
      <c r="J17" s="28">
        <v>0</v>
      </c>
      <c r="K17" s="28">
        <v>0</v>
      </c>
      <c r="L17" s="28">
        <v>0</v>
      </c>
      <c r="M17" s="28">
        <v>0</v>
      </c>
      <c r="N17" s="28">
        <v>0</v>
      </c>
      <c r="O17" s="28">
        <v>0</v>
      </c>
      <c r="P17" s="33">
        <f t="shared" si="0"/>
        <v>0</v>
      </c>
      <c r="Q17" s="33">
        <f t="shared" si="0"/>
        <v>0</v>
      </c>
      <c r="R17" s="28">
        <v>0</v>
      </c>
      <c r="S17" s="28">
        <v>0</v>
      </c>
      <c r="T17" s="28">
        <v>0</v>
      </c>
      <c r="U17" s="28"/>
      <c r="V17" s="45">
        <v>1</v>
      </c>
      <c r="W17" s="46"/>
      <c r="X17" s="33">
        <f t="shared" si="1"/>
        <v>1</v>
      </c>
      <c r="Y17" s="33">
        <f t="shared" si="1"/>
        <v>0</v>
      </c>
      <c r="Z17" s="28">
        <v>0</v>
      </c>
      <c r="AA17" s="46"/>
      <c r="AB17" s="45">
        <v>0</v>
      </c>
      <c r="AC17" s="46"/>
      <c r="AD17" s="45">
        <v>1</v>
      </c>
      <c r="AE17" s="46"/>
      <c r="AF17" s="33">
        <f t="shared" si="2"/>
        <v>1</v>
      </c>
      <c r="AG17" s="33">
        <f t="shared" si="2"/>
        <v>0</v>
      </c>
      <c r="AH17" s="45">
        <v>0</v>
      </c>
      <c r="AI17" s="46"/>
      <c r="AJ17" s="45">
        <v>0</v>
      </c>
      <c r="AK17" s="46"/>
      <c r="AL17" s="45">
        <v>0</v>
      </c>
      <c r="AM17" s="46"/>
      <c r="AN17" s="33">
        <f t="shared" si="3"/>
        <v>0</v>
      </c>
      <c r="AO17" s="33">
        <f t="shared" si="3"/>
        <v>0</v>
      </c>
      <c r="AP17" s="47"/>
      <c r="AQ17" s="47"/>
      <c r="AR17" s="47"/>
      <c r="AS17" s="47"/>
      <c r="AT17" s="47"/>
      <c r="AU17" s="47"/>
      <c r="AV17" s="34">
        <f t="shared" si="4"/>
        <v>2</v>
      </c>
      <c r="AW17" s="34">
        <f t="shared" si="4"/>
        <v>0</v>
      </c>
      <c r="AX17" s="22" t="str">
        <f t="shared" si="9"/>
        <v/>
      </c>
      <c r="AY17" s="22">
        <f t="shared" si="5"/>
        <v>0</v>
      </c>
      <c r="AZ17" s="22">
        <f t="shared" si="6"/>
        <v>0</v>
      </c>
      <c r="BA17" s="22">
        <f t="shared" si="7"/>
        <v>0</v>
      </c>
      <c r="BB17" s="84">
        <f t="shared" si="8"/>
        <v>0</v>
      </c>
      <c r="BC17" s="109" t="s">
        <v>131</v>
      </c>
      <c r="BD17" s="575"/>
    </row>
    <row r="18" spans="1:56" ht="53.25" customHeight="1" x14ac:dyDescent="0.2">
      <c r="A18" s="576" t="s">
        <v>48</v>
      </c>
      <c r="B18" s="577" t="s">
        <v>24</v>
      </c>
      <c r="C18" s="48" t="s">
        <v>86</v>
      </c>
      <c r="D18" s="49">
        <v>0.3</v>
      </c>
      <c r="E18" s="52" t="s">
        <v>38</v>
      </c>
      <c r="F18" s="43" t="s">
        <v>87</v>
      </c>
      <c r="G18" s="44" t="s">
        <v>88</v>
      </c>
      <c r="H18" s="50">
        <v>0</v>
      </c>
      <c r="I18" s="50">
        <v>0</v>
      </c>
      <c r="J18" s="28">
        <v>8.33</v>
      </c>
      <c r="K18" s="28">
        <v>5.55</v>
      </c>
      <c r="L18" s="28">
        <v>8.33</v>
      </c>
      <c r="M18" s="28">
        <v>4.99</v>
      </c>
      <c r="N18" s="28">
        <v>8.34</v>
      </c>
      <c r="O18" s="28">
        <v>8.34</v>
      </c>
      <c r="P18" s="33">
        <f t="shared" si="0"/>
        <v>25</v>
      </c>
      <c r="Q18" s="33">
        <f t="shared" si="0"/>
        <v>18.88</v>
      </c>
      <c r="R18" s="28">
        <v>8.33</v>
      </c>
      <c r="S18" s="28">
        <v>8.34</v>
      </c>
      <c r="T18" s="28">
        <v>8.33</v>
      </c>
      <c r="U18" s="28"/>
      <c r="V18" s="28">
        <v>8.34</v>
      </c>
      <c r="W18" s="28"/>
      <c r="X18" s="33">
        <f t="shared" si="1"/>
        <v>25</v>
      </c>
      <c r="Y18" s="33">
        <f t="shared" si="1"/>
        <v>8.34</v>
      </c>
      <c r="Z18" s="28">
        <v>8.33</v>
      </c>
      <c r="AA18" s="46"/>
      <c r="AB18" s="28">
        <v>8.33</v>
      </c>
      <c r="AC18" s="46"/>
      <c r="AD18" s="28">
        <v>8.34</v>
      </c>
      <c r="AE18" s="46"/>
      <c r="AF18" s="33">
        <f t="shared" si="2"/>
        <v>25</v>
      </c>
      <c r="AG18" s="33">
        <f t="shared" si="2"/>
        <v>0</v>
      </c>
      <c r="AH18" s="28">
        <v>8.33</v>
      </c>
      <c r="AI18" s="46"/>
      <c r="AJ18" s="28">
        <v>8.33</v>
      </c>
      <c r="AK18" s="46"/>
      <c r="AL18" s="28">
        <v>8.34</v>
      </c>
      <c r="AM18" s="51"/>
      <c r="AN18" s="33">
        <f t="shared" si="3"/>
        <v>25</v>
      </c>
      <c r="AO18" s="33">
        <f t="shared" si="3"/>
        <v>0</v>
      </c>
      <c r="AP18" s="47">
        <v>100</v>
      </c>
      <c r="AQ18" s="47"/>
      <c r="AR18" s="47">
        <v>100</v>
      </c>
      <c r="AS18" s="47"/>
      <c r="AT18" s="47">
        <v>100</v>
      </c>
      <c r="AU18" s="47"/>
      <c r="AV18" s="34">
        <f t="shared" si="4"/>
        <v>100</v>
      </c>
      <c r="AW18" s="34">
        <f t="shared" si="4"/>
        <v>27.22</v>
      </c>
      <c r="AX18" s="22">
        <f t="shared" si="9"/>
        <v>0.75519999999999998</v>
      </c>
      <c r="AY18" s="22">
        <f t="shared" si="5"/>
        <v>0.5444</v>
      </c>
      <c r="AZ18" s="22">
        <f t="shared" si="6"/>
        <v>0.36293333333333333</v>
      </c>
      <c r="BA18" s="22">
        <f t="shared" si="7"/>
        <v>0.2722</v>
      </c>
      <c r="BB18" s="84">
        <f t="shared" si="8"/>
        <v>0.2722</v>
      </c>
      <c r="BC18" s="109" t="s">
        <v>89</v>
      </c>
      <c r="BD18" s="795">
        <v>0.30299999999999999</v>
      </c>
    </row>
    <row r="19" spans="1:56" ht="76.5" customHeight="1" x14ac:dyDescent="0.2">
      <c r="A19" s="576"/>
      <c r="B19" s="578"/>
      <c r="C19" s="48" t="s">
        <v>25</v>
      </c>
      <c r="D19" s="49">
        <v>0.7</v>
      </c>
      <c r="E19" s="52" t="s">
        <v>91</v>
      </c>
      <c r="F19" s="43" t="s">
        <v>85</v>
      </c>
      <c r="G19" s="44" t="s">
        <v>90</v>
      </c>
      <c r="H19" s="53">
        <v>0</v>
      </c>
      <c r="I19" s="53">
        <v>0</v>
      </c>
      <c r="J19" s="54">
        <f t="shared" ref="J19:O19" si="10">(1/12)</f>
        <v>8.3333333333333329E-2</v>
      </c>
      <c r="K19" s="54">
        <f t="shared" si="10"/>
        <v>8.3333333333333329E-2</v>
      </c>
      <c r="L19" s="54">
        <f t="shared" si="10"/>
        <v>8.3333333333333329E-2</v>
      </c>
      <c r="M19" s="54">
        <f t="shared" si="10"/>
        <v>8.3333333333333329E-2</v>
      </c>
      <c r="N19" s="54">
        <f t="shared" si="10"/>
        <v>8.3333333333333329E-2</v>
      </c>
      <c r="O19" s="54">
        <f t="shared" si="10"/>
        <v>8.3333333333333329E-2</v>
      </c>
      <c r="P19" s="33">
        <f t="shared" si="0"/>
        <v>0.25</v>
      </c>
      <c r="Q19" s="33">
        <f t="shared" si="0"/>
        <v>0.25</v>
      </c>
      <c r="R19" s="54">
        <f>(1/12)</f>
        <v>8.3333333333333329E-2</v>
      </c>
      <c r="S19" s="54">
        <f>(1/12)</f>
        <v>8.3333333333333329E-2</v>
      </c>
      <c r="T19" s="54">
        <f>(1/12)</f>
        <v>8.3333333333333329E-2</v>
      </c>
      <c r="U19" s="28"/>
      <c r="V19" s="54">
        <f>(1/12)</f>
        <v>8.3333333333333329E-2</v>
      </c>
      <c r="W19" s="28"/>
      <c r="X19" s="33">
        <f t="shared" si="1"/>
        <v>0.25</v>
      </c>
      <c r="Y19" s="33">
        <f t="shared" si="1"/>
        <v>8.3333333333333329E-2</v>
      </c>
      <c r="Z19" s="54">
        <f>(1/12)</f>
        <v>8.3333333333333329E-2</v>
      </c>
      <c r="AA19" s="46"/>
      <c r="AB19" s="54">
        <f>(1/12)</f>
        <v>8.3333333333333329E-2</v>
      </c>
      <c r="AC19" s="46"/>
      <c r="AD19" s="54">
        <f>(1/12)</f>
        <v>8.3333333333333329E-2</v>
      </c>
      <c r="AE19" s="46"/>
      <c r="AF19" s="33">
        <f t="shared" si="2"/>
        <v>0.25</v>
      </c>
      <c r="AG19" s="33">
        <f t="shared" si="2"/>
        <v>0</v>
      </c>
      <c r="AH19" s="54">
        <f>(1/12)</f>
        <v>8.3333333333333329E-2</v>
      </c>
      <c r="AI19" s="46"/>
      <c r="AJ19" s="54">
        <f>(1/12)</f>
        <v>8.3333333333333329E-2</v>
      </c>
      <c r="AK19" s="46"/>
      <c r="AL19" s="54">
        <f>(1/12)</f>
        <v>8.3333333333333329E-2</v>
      </c>
      <c r="AM19" s="46"/>
      <c r="AN19" s="33">
        <f t="shared" si="3"/>
        <v>0.25</v>
      </c>
      <c r="AO19" s="33">
        <f t="shared" si="3"/>
        <v>0</v>
      </c>
      <c r="AP19" s="47">
        <v>1</v>
      </c>
      <c r="AQ19" s="47"/>
      <c r="AR19" s="47">
        <v>2</v>
      </c>
      <c r="AS19" s="47"/>
      <c r="AT19" s="47">
        <v>2</v>
      </c>
      <c r="AU19" s="47"/>
      <c r="AV19" s="34">
        <f t="shared" si="4"/>
        <v>1</v>
      </c>
      <c r="AW19" s="34">
        <f t="shared" si="4"/>
        <v>0.33333333333333331</v>
      </c>
      <c r="AX19" s="22">
        <f t="shared" si="9"/>
        <v>1</v>
      </c>
      <c r="AY19" s="22">
        <f t="shared" si="5"/>
        <v>0.66666666666666663</v>
      </c>
      <c r="AZ19" s="22">
        <f t="shared" si="6"/>
        <v>0.44444444444444442</v>
      </c>
      <c r="BA19" s="22">
        <f t="shared" si="7"/>
        <v>0.33333333333333331</v>
      </c>
      <c r="BB19" s="84">
        <f t="shared" si="8"/>
        <v>0.33333333333333331</v>
      </c>
      <c r="BC19" s="109" t="s">
        <v>92</v>
      </c>
      <c r="BD19" s="796"/>
    </row>
    <row r="20" spans="1:56" ht="42.75" customHeight="1" x14ac:dyDescent="0.2">
      <c r="A20" s="559" t="s">
        <v>93</v>
      </c>
      <c r="B20" s="797" t="s">
        <v>0</v>
      </c>
      <c r="C20" s="117" t="s">
        <v>95</v>
      </c>
      <c r="D20" s="55">
        <v>0.35</v>
      </c>
      <c r="E20" s="56" t="s">
        <v>94</v>
      </c>
      <c r="F20" s="57" t="s">
        <v>97</v>
      </c>
      <c r="G20" s="57" t="s">
        <v>96</v>
      </c>
      <c r="H20" s="58">
        <v>200</v>
      </c>
      <c r="I20" s="58">
        <v>200</v>
      </c>
      <c r="J20" s="28">
        <v>65</v>
      </c>
      <c r="K20" s="28">
        <v>72</v>
      </c>
      <c r="L20" s="28">
        <v>75</v>
      </c>
      <c r="M20" s="28">
        <v>57</v>
      </c>
      <c r="N20" s="28">
        <v>62</v>
      </c>
      <c r="O20" s="28">
        <v>62</v>
      </c>
      <c r="P20" s="33">
        <f t="shared" si="0"/>
        <v>202</v>
      </c>
      <c r="Q20" s="33">
        <f t="shared" si="0"/>
        <v>191</v>
      </c>
      <c r="R20" s="28">
        <v>68</v>
      </c>
      <c r="S20" s="28">
        <v>68</v>
      </c>
      <c r="T20" s="28">
        <v>71</v>
      </c>
      <c r="U20" s="28"/>
      <c r="V20" s="28">
        <v>46</v>
      </c>
      <c r="W20" s="28"/>
      <c r="X20" s="33">
        <f t="shared" si="1"/>
        <v>185</v>
      </c>
      <c r="Y20" s="33">
        <f t="shared" si="1"/>
        <v>68</v>
      </c>
      <c r="Z20" s="46"/>
      <c r="AA20" s="46"/>
      <c r="AB20" s="46"/>
      <c r="AC20" s="46"/>
      <c r="AD20" s="46"/>
      <c r="AE20" s="46"/>
      <c r="AF20" s="33">
        <f t="shared" si="2"/>
        <v>0</v>
      </c>
      <c r="AG20" s="33">
        <f t="shared" si="2"/>
        <v>0</v>
      </c>
      <c r="AH20" s="46"/>
      <c r="AI20" s="46"/>
      <c r="AJ20" s="46"/>
      <c r="AK20" s="46"/>
      <c r="AL20" s="46"/>
      <c r="AM20" s="46"/>
      <c r="AN20" s="33">
        <f t="shared" si="3"/>
        <v>0</v>
      </c>
      <c r="AO20" s="33">
        <f t="shared" si="3"/>
        <v>0</v>
      </c>
      <c r="AP20" s="45">
        <v>200</v>
      </c>
      <c r="AQ20" s="45"/>
      <c r="AR20" s="45">
        <v>200</v>
      </c>
      <c r="AS20" s="45"/>
      <c r="AT20" s="45">
        <v>200</v>
      </c>
      <c r="AU20" s="45"/>
      <c r="AV20" s="34">
        <f t="shared" si="4"/>
        <v>387</v>
      </c>
      <c r="AW20" s="34">
        <f t="shared" si="4"/>
        <v>259</v>
      </c>
      <c r="AX20" s="22">
        <f t="shared" si="9"/>
        <v>0.9455445544554455</v>
      </c>
      <c r="AY20" s="22">
        <f t="shared" si="5"/>
        <v>0.66925064599483208</v>
      </c>
      <c r="AZ20" s="22">
        <f t="shared" si="6"/>
        <v>0.66925064599483208</v>
      </c>
      <c r="BA20" s="22">
        <f t="shared" si="7"/>
        <v>0.66925064599483208</v>
      </c>
      <c r="BB20" s="85">
        <f t="shared" si="8"/>
        <v>0.66925064599483208</v>
      </c>
      <c r="BC20" s="109" t="s">
        <v>153</v>
      </c>
      <c r="BD20" s="563">
        <v>0.223</v>
      </c>
    </row>
    <row r="21" spans="1:56" ht="67.5" x14ac:dyDescent="0.2">
      <c r="A21" s="559"/>
      <c r="B21" s="797"/>
      <c r="C21" s="117" t="s">
        <v>75</v>
      </c>
      <c r="D21" s="55">
        <v>0.35</v>
      </c>
      <c r="E21" s="56" t="s">
        <v>39</v>
      </c>
      <c r="F21" s="57" t="s">
        <v>98</v>
      </c>
      <c r="G21" s="57" t="s">
        <v>99</v>
      </c>
      <c r="H21" s="58">
        <v>1</v>
      </c>
      <c r="I21" s="58">
        <v>0</v>
      </c>
      <c r="J21" s="28">
        <v>0</v>
      </c>
      <c r="K21" s="28">
        <v>0</v>
      </c>
      <c r="L21" s="28">
        <v>0</v>
      </c>
      <c r="M21" s="28">
        <v>0</v>
      </c>
      <c r="N21" s="28">
        <v>0</v>
      </c>
      <c r="O21" s="28">
        <v>0</v>
      </c>
      <c r="P21" s="33">
        <f t="shared" si="0"/>
        <v>0</v>
      </c>
      <c r="Q21" s="33">
        <f t="shared" si="0"/>
        <v>0</v>
      </c>
      <c r="R21" s="28">
        <v>0</v>
      </c>
      <c r="S21" s="28">
        <v>0</v>
      </c>
      <c r="T21" s="28">
        <v>1</v>
      </c>
      <c r="U21" s="28"/>
      <c r="V21" s="28">
        <v>0</v>
      </c>
      <c r="W21" s="28"/>
      <c r="X21" s="33">
        <f t="shared" si="1"/>
        <v>1</v>
      </c>
      <c r="Y21" s="33">
        <f t="shared" si="1"/>
        <v>0</v>
      </c>
      <c r="Z21" s="45">
        <v>0</v>
      </c>
      <c r="AA21" s="45"/>
      <c r="AB21" s="45">
        <v>0</v>
      </c>
      <c r="AC21" s="45"/>
      <c r="AD21" s="45">
        <v>0</v>
      </c>
      <c r="AE21" s="45"/>
      <c r="AF21" s="33">
        <f t="shared" si="2"/>
        <v>0</v>
      </c>
      <c r="AG21" s="33">
        <f t="shared" si="2"/>
        <v>0</v>
      </c>
      <c r="AH21" s="45">
        <v>0</v>
      </c>
      <c r="AI21" s="45"/>
      <c r="AJ21" s="45">
        <v>0</v>
      </c>
      <c r="AK21" s="45"/>
      <c r="AL21" s="45">
        <v>2</v>
      </c>
      <c r="AM21" s="45"/>
      <c r="AN21" s="33">
        <f t="shared" si="3"/>
        <v>2</v>
      </c>
      <c r="AO21" s="33">
        <f t="shared" si="3"/>
        <v>0</v>
      </c>
      <c r="AP21" s="45">
        <v>2</v>
      </c>
      <c r="AQ21" s="45"/>
      <c r="AR21" s="45">
        <v>2</v>
      </c>
      <c r="AS21" s="45"/>
      <c r="AT21" s="45">
        <v>1</v>
      </c>
      <c r="AU21" s="45"/>
      <c r="AV21" s="34">
        <f t="shared" si="4"/>
        <v>3</v>
      </c>
      <c r="AW21" s="34">
        <f t="shared" si="4"/>
        <v>0</v>
      </c>
      <c r="AX21" s="22" t="str">
        <f t="shared" si="9"/>
        <v/>
      </c>
      <c r="AY21" s="22">
        <f t="shared" si="5"/>
        <v>0</v>
      </c>
      <c r="AZ21" s="22">
        <f t="shared" si="6"/>
        <v>0</v>
      </c>
      <c r="BA21" s="22">
        <f t="shared" si="7"/>
        <v>0</v>
      </c>
      <c r="BB21" s="84">
        <f t="shared" si="8"/>
        <v>0</v>
      </c>
      <c r="BC21" s="109" t="s">
        <v>104</v>
      </c>
      <c r="BD21" s="564"/>
    </row>
    <row r="22" spans="1:56" ht="56.25" x14ac:dyDescent="0.2">
      <c r="A22" s="559"/>
      <c r="B22" s="797"/>
      <c r="C22" s="117" t="s">
        <v>100</v>
      </c>
      <c r="D22" s="55">
        <v>0.3</v>
      </c>
      <c r="E22" s="56" t="s">
        <v>103</v>
      </c>
      <c r="F22" s="57" t="s">
        <v>101</v>
      </c>
      <c r="G22" s="57" t="s">
        <v>102</v>
      </c>
      <c r="H22" s="58">
        <v>145</v>
      </c>
      <c r="I22" s="58">
        <v>145</v>
      </c>
      <c r="J22" s="28">
        <v>0</v>
      </c>
      <c r="K22" s="28">
        <v>0</v>
      </c>
      <c r="L22" s="28">
        <v>0</v>
      </c>
      <c r="M22" s="28">
        <v>0</v>
      </c>
      <c r="N22" s="28">
        <v>0</v>
      </c>
      <c r="O22" s="28">
        <v>0</v>
      </c>
      <c r="P22" s="33">
        <f t="shared" si="0"/>
        <v>0</v>
      </c>
      <c r="Q22" s="33">
        <f t="shared" si="0"/>
        <v>0</v>
      </c>
      <c r="R22" s="28">
        <v>0</v>
      </c>
      <c r="S22" s="28">
        <v>0</v>
      </c>
      <c r="T22" s="28">
        <v>0</v>
      </c>
      <c r="U22" s="28"/>
      <c r="V22" s="28">
        <v>30</v>
      </c>
      <c r="W22" s="28"/>
      <c r="X22" s="33">
        <f t="shared" si="1"/>
        <v>30</v>
      </c>
      <c r="Y22" s="33">
        <f t="shared" si="1"/>
        <v>0</v>
      </c>
      <c r="Z22" s="28">
        <v>30</v>
      </c>
      <c r="AA22" s="28"/>
      <c r="AB22" s="28">
        <v>35</v>
      </c>
      <c r="AC22" s="28"/>
      <c r="AD22" s="28">
        <v>35</v>
      </c>
      <c r="AE22" s="28"/>
      <c r="AF22" s="33">
        <f t="shared" si="2"/>
        <v>100</v>
      </c>
      <c r="AG22" s="33">
        <f t="shared" si="2"/>
        <v>0</v>
      </c>
      <c r="AH22" s="28">
        <v>30</v>
      </c>
      <c r="AI22" s="28"/>
      <c r="AJ22" s="28">
        <v>30</v>
      </c>
      <c r="AK22" s="28"/>
      <c r="AL22" s="28">
        <v>10</v>
      </c>
      <c r="AM22" s="28"/>
      <c r="AN22" s="33">
        <f t="shared" si="3"/>
        <v>70</v>
      </c>
      <c r="AO22" s="33">
        <f t="shared" si="3"/>
        <v>0</v>
      </c>
      <c r="AP22" s="45">
        <v>200</v>
      </c>
      <c r="AQ22" s="45"/>
      <c r="AR22" s="45">
        <v>200</v>
      </c>
      <c r="AS22" s="45"/>
      <c r="AT22" s="45">
        <v>0</v>
      </c>
      <c r="AU22" s="45"/>
      <c r="AV22" s="34">
        <f t="shared" si="4"/>
        <v>200</v>
      </c>
      <c r="AW22" s="34">
        <f t="shared" si="4"/>
        <v>0</v>
      </c>
      <c r="AX22" s="22" t="str">
        <f t="shared" si="9"/>
        <v/>
      </c>
      <c r="AY22" s="22">
        <f t="shared" si="5"/>
        <v>0</v>
      </c>
      <c r="AZ22" s="22">
        <f t="shared" si="6"/>
        <v>0</v>
      </c>
      <c r="BA22" s="22">
        <f t="shared" si="7"/>
        <v>0</v>
      </c>
      <c r="BB22" s="84">
        <f t="shared" si="8"/>
        <v>0</v>
      </c>
      <c r="BC22" s="119" t="s">
        <v>149</v>
      </c>
      <c r="BD22" s="564"/>
    </row>
    <row r="23" spans="1:56" ht="81" x14ac:dyDescent="0.2">
      <c r="A23" s="790" t="s">
        <v>49</v>
      </c>
      <c r="B23" s="567" t="s">
        <v>108</v>
      </c>
      <c r="C23" s="59" t="s">
        <v>27</v>
      </c>
      <c r="D23" s="60">
        <v>0.4</v>
      </c>
      <c r="E23" s="61" t="s">
        <v>40</v>
      </c>
      <c r="F23" s="62" t="s">
        <v>122</v>
      </c>
      <c r="G23" s="63" t="s">
        <v>123</v>
      </c>
      <c r="H23" s="64">
        <v>0</v>
      </c>
      <c r="I23" s="64">
        <v>0</v>
      </c>
      <c r="J23" s="28">
        <v>336</v>
      </c>
      <c r="K23" s="28">
        <v>336</v>
      </c>
      <c r="L23" s="28">
        <v>805</v>
      </c>
      <c r="M23" s="28">
        <v>805</v>
      </c>
      <c r="N23" s="28">
        <v>3874</v>
      </c>
      <c r="O23" s="28">
        <v>3874</v>
      </c>
      <c r="P23" s="33">
        <f t="shared" si="0"/>
        <v>5015</v>
      </c>
      <c r="Q23" s="33">
        <f t="shared" si="0"/>
        <v>5015</v>
      </c>
      <c r="R23" s="28">
        <v>408</v>
      </c>
      <c r="S23" s="28">
        <v>408</v>
      </c>
      <c r="T23" s="28"/>
      <c r="U23" s="28"/>
      <c r="V23" s="28"/>
      <c r="W23" s="28"/>
      <c r="X23" s="33">
        <f t="shared" si="1"/>
        <v>408</v>
      </c>
      <c r="Y23" s="33">
        <f t="shared" si="1"/>
        <v>408</v>
      </c>
      <c r="Z23" s="28"/>
      <c r="AA23" s="28"/>
      <c r="AB23" s="28"/>
      <c r="AC23" s="28"/>
      <c r="AD23" s="28"/>
      <c r="AE23" s="28"/>
      <c r="AF23" s="33">
        <f t="shared" si="2"/>
        <v>0</v>
      </c>
      <c r="AG23" s="33">
        <f t="shared" si="2"/>
        <v>0</v>
      </c>
      <c r="AH23" s="28"/>
      <c r="AI23" s="28"/>
      <c r="AJ23" s="28"/>
      <c r="AK23" s="28"/>
      <c r="AL23" s="28"/>
      <c r="AM23" s="28"/>
      <c r="AN23" s="33">
        <f t="shared" si="3"/>
        <v>0</v>
      </c>
      <c r="AO23" s="33">
        <f t="shared" si="3"/>
        <v>0</v>
      </c>
      <c r="AP23" s="45">
        <v>100</v>
      </c>
      <c r="AQ23" s="45"/>
      <c r="AR23" s="45">
        <v>100</v>
      </c>
      <c r="AS23" s="45"/>
      <c r="AT23" s="45">
        <v>100</v>
      </c>
      <c r="AU23" s="45"/>
      <c r="AV23" s="21">
        <v>1</v>
      </c>
      <c r="AW23" s="21">
        <v>1</v>
      </c>
      <c r="AX23" s="22">
        <f t="shared" si="9"/>
        <v>1</v>
      </c>
      <c r="AY23" s="22">
        <f t="shared" si="5"/>
        <v>1</v>
      </c>
      <c r="AZ23" s="22">
        <f t="shared" si="6"/>
        <v>1</v>
      </c>
      <c r="BA23" s="22">
        <f t="shared" si="7"/>
        <v>1</v>
      </c>
      <c r="BB23" s="22">
        <f t="shared" si="8"/>
        <v>1</v>
      </c>
      <c r="BC23" s="109" t="s">
        <v>146</v>
      </c>
      <c r="BD23" s="791" t="s">
        <v>139</v>
      </c>
    </row>
    <row r="24" spans="1:56" ht="219.75" customHeight="1" x14ac:dyDescent="0.2">
      <c r="A24" s="790"/>
      <c r="B24" s="568"/>
      <c r="C24" s="65" t="s">
        <v>28</v>
      </c>
      <c r="D24" s="60">
        <v>0.3</v>
      </c>
      <c r="E24" s="61" t="s">
        <v>41</v>
      </c>
      <c r="F24" s="13" t="s">
        <v>124</v>
      </c>
      <c r="G24" s="14" t="s">
        <v>125</v>
      </c>
      <c r="H24" s="64">
        <v>0</v>
      </c>
      <c r="I24" s="64">
        <v>0</v>
      </c>
      <c r="J24" s="28">
        <v>1</v>
      </c>
      <c r="K24" s="28">
        <v>1</v>
      </c>
      <c r="L24" s="28">
        <v>2</v>
      </c>
      <c r="M24" s="28">
        <v>1</v>
      </c>
      <c r="N24" s="28">
        <v>1</v>
      </c>
      <c r="O24" s="28">
        <v>1</v>
      </c>
      <c r="P24" s="33">
        <f t="shared" ref="P24:Q27" si="11">SUM(J24,L24,N24)</f>
        <v>4</v>
      </c>
      <c r="Q24" s="33">
        <f t="shared" si="11"/>
        <v>3</v>
      </c>
      <c r="R24" s="28">
        <v>0</v>
      </c>
      <c r="S24" s="28">
        <v>5</v>
      </c>
      <c r="T24" s="28">
        <v>3</v>
      </c>
      <c r="U24" s="28"/>
      <c r="V24" s="28">
        <v>3</v>
      </c>
      <c r="W24" s="28"/>
      <c r="X24" s="33">
        <f t="shared" ref="X24:Y27" si="12">SUM(R24,T24,V24)</f>
        <v>6</v>
      </c>
      <c r="Y24" s="33">
        <f t="shared" si="12"/>
        <v>5</v>
      </c>
      <c r="Z24" s="28">
        <v>1</v>
      </c>
      <c r="AA24" s="28"/>
      <c r="AB24" s="28">
        <v>1</v>
      </c>
      <c r="AC24" s="28"/>
      <c r="AD24" s="28">
        <v>1</v>
      </c>
      <c r="AE24" s="28"/>
      <c r="AF24" s="33">
        <f t="shared" ref="AF24:AG27" si="13">SUM(Z24,AB24,AD24)</f>
        <v>3</v>
      </c>
      <c r="AG24" s="33">
        <f t="shared" si="13"/>
        <v>0</v>
      </c>
      <c r="AH24" s="28">
        <v>2</v>
      </c>
      <c r="AI24" s="28"/>
      <c r="AJ24" s="28">
        <v>2</v>
      </c>
      <c r="AK24" s="28"/>
      <c r="AL24" s="28">
        <v>0</v>
      </c>
      <c r="AM24" s="28"/>
      <c r="AN24" s="33">
        <f t="shared" ref="AN24:AO27" si="14">SUM(AH24,AJ24,AL24)</f>
        <v>4</v>
      </c>
      <c r="AO24" s="33">
        <f t="shared" si="14"/>
        <v>0</v>
      </c>
      <c r="AP24" s="45">
        <v>1</v>
      </c>
      <c r="AQ24" s="45"/>
      <c r="AR24" s="45">
        <v>1</v>
      </c>
      <c r="AS24" s="45"/>
      <c r="AT24" s="45">
        <v>1</v>
      </c>
      <c r="AU24" s="45"/>
      <c r="AV24" s="34">
        <f t="shared" ref="AV24:AW27" si="15">SUM(P24,X24,AF24,AN24)</f>
        <v>17</v>
      </c>
      <c r="AW24" s="34">
        <f t="shared" si="15"/>
        <v>8</v>
      </c>
      <c r="AX24" s="22">
        <f t="shared" si="9"/>
        <v>0.75</v>
      </c>
      <c r="AY24" s="22">
        <f t="shared" si="5"/>
        <v>0.8</v>
      </c>
      <c r="AZ24" s="22">
        <f t="shared" si="6"/>
        <v>0.61538461538461542</v>
      </c>
      <c r="BA24" s="22">
        <f t="shared" si="7"/>
        <v>0.47058823529411764</v>
      </c>
      <c r="BB24" s="85">
        <f t="shared" si="8"/>
        <v>0.47058823529411764</v>
      </c>
      <c r="BC24" s="109" t="s">
        <v>132</v>
      </c>
      <c r="BD24" s="792"/>
    </row>
    <row r="25" spans="1:56" ht="108" x14ac:dyDescent="0.2">
      <c r="A25" s="790"/>
      <c r="B25" s="794"/>
      <c r="C25" s="65" t="s">
        <v>28</v>
      </c>
      <c r="D25" s="60">
        <v>0.3</v>
      </c>
      <c r="E25" s="61" t="s">
        <v>42</v>
      </c>
      <c r="F25" s="13" t="s">
        <v>126</v>
      </c>
      <c r="G25" s="14" t="s">
        <v>127</v>
      </c>
      <c r="H25" s="66">
        <v>1</v>
      </c>
      <c r="I25" s="66">
        <v>1</v>
      </c>
      <c r="J25" s="28">
        <v>93</v>
      </c>
      <c r="K25" s="28">
        <v>93</v>
      </c>
      <c r="L25" s="28">
        <v>20</v>
      </c>
      <c r="M25" s="28">
        <v>20</v>
      </c>
      <c r="N25" s="28">
        <v>300</v>
      </c>
      <c r="O25" s="28">
        <v>300</v>
      </c>
      <c r="P25" s="33">
        <f t="shared" si="11"/>
        <v>413</v>
      </c>
      <c r="Q25" s="33">
        <f t="shared" si="11"/>
        <v>413</v>
      </c>
      <c r="R25" s="28">
        <v>50</v>
      </c>
      <c r="S25" s="28">
        <v>50</v>
      </c>
      <c r="T25" s="28"/>
      <c r="U25" s="28"/>
      <c r="V25" s="28"/>
      <c r="W25" s="28"/>
      <c r="X25" s="33">
        <f t="shared" si="12"/>
        <v>50</v>
      </c>
      <c r="Y25" s="33">
        <f t="shared" si="12"/>
        <v>50</v>
      </c>
      <c r="Z25" s="28"/>
      <c r="AA25" s="28"/>
      <c r="AB25" s="28"/>
      <c r="AC25" s="28"/>
      <c r="AD25" s="28"/>
      <c r="AE25" s="28"/>
      <c r="AF25" s="33">
        <f t="shared" si="13"/>
        <v>0</v>
      </c>
      <c r="AG25" s="33">
        <f t="shared" si="13"/>
        <v>0</v>
      </c>
      <c r="AH25" s="28"/>
      <c r="AI25" s="28"/>
      <c r="AJ25" s="28"/>
      <c r="AK25" s="28"/>
      <c r="AL25" s="28"/>
      <c r="AM25" s="28"/>
      <c r="AN25" s="33">
        <f t="shared" si="14"/>
        <v>0</v>
      </c>
      <c r="AO25" s="33">
        <f t="shared" si="14"/>
        <v>0</v>
      </c>
      <c r="AP25" s="45">
        <v>100</v>
      </c>
      <c r="AQ25" s="45"/>
      <c r="AR25" s="45">
        <v>100</v>
      </c>
      <c r="AS25" s="45"/>
      <c r="AT25" s="45">
        <v>100</v>
      </c>
      <c r="AU25" s="45"/>
      <c r="AV25" s="34">
        <f t="shared" si="15"/>
        <v>463</v>
      </c>
      <c r="AW25" s="34">
        <f t="shared" si="15"/>
        <v>463</v>
      </c>
      <c r="AX25" s="22">
        <f t="shared" si="9"/>
        <v>1</v>
      </c>
      <c r="AY25" s="22">
        <f t="shared" si="5"/>
        <v>1</v>
      </c>
      <c r="AZ25" s="22">
        <f t="shared" si="6"/>
        <v>1</v>
      </c>
      <c r="BA25" s="22">
        <f t="shared" si="7"/>
        <v>1</v>
      </c>
      <c r="BB25" s="22">
        <f t="shared" si="8"/>
        <v>1</v>
      </c>
      <c r="BC25" s="109" t="s">
        <v>133</v>
      </c>
      <c r="BD25" s="793"/>
    </row>
    <row r="26" spans="1:56" ht="99" customHeight="1" x14ac:dyDescent="0.2">
      <c r="A26" s="128" t="s">
        <v>50</v>
      </c>
      <c r="B26" s="129" t="s">
        <v>76</v>
      </c>
      <c r="C26" s="129" t="s">
        <v>77</v>
      </c>
      <c r="D26" s="130">
        <v>1</v>
      </c>
      <c r="E26" s="131" t="s">
        <v>106</v>
      </c>
      <c r="F26" s="132" t="s">
        <v>73</v>
      </c>
      <c r="G26" s="133" t="s">
        <v>74</v>
      </c>
      <c r="H26" s="134">
        <v>0</v>
      </c>
      <c r="I26" s="134">
        <v>0</v>
      </c>
      <c r="J26" s="69">
        <v>0</v>
      </c>
      <c r="K26" s="69">
        <v>0</v>
      </c>
      <c r="L26" s="69">
        <v>0</v>
      </c>
      <c r="M26" s="69">
        <v>0</v>
      </c>
      <c r="N26" s="69">
        <v>0</v>
      </c>
      <c r="O26" s="69">
        <v>0</v>
      </c>
      <c r="P26" s="33">
        <f t="shared" si="11"/>
        <v>0</v>
      </c>
      <c r="Q26" s="33">
        <f t="shared" si="11"/>
        <v>0</v>
      </c>
      <c r="R26" s="20">
        <v>0</v>
      </c>
      <c r="S26" s="20">
        <v>0</v>
      </c>
      <c r="T26" s="27">
        <v>6.3E-2</v>
      </c>
      <c r="U26" s="20"/>
      <c r="V26" s="27">
        <v>6.3E-2</v>
      </c>
      <c r="W26" s="20"/>
      <c r="X26" s="33">
        <f t="shared" si="12"/>
        <v>0.126</v>
      </c>
      <c r="Y26" s="33">
        <f t="shared" si="12"/>
        <v>0</v>
      </c>
      <c r="Z26" s="27">
        <v>6.3E-2</v>
      </c>
      <c r="AA26" s="20"/>
      <c r="AB26" s="27">
        <v>6.3E-2</v>
      </c>
      <c r="AC26" s="20"/>
      <c r="AD26" s="27">
        <v>6.3E-2</v>
      </c>
      <c r="AE26" s="20"/>
      <c r="AF26" s="33">
        <f t="shared" si="13"/>
        <v>0.189</v>
      </c>
      <c r="AG26" s="33">
        <f t="shared" si="13"/>
        <v>0</v>
      </c>
      <c r="AH26" s="27">
        <v>6.3E-2</v>
      </c>
      <c r="AI26" s="20"/>
      <c r="AJ26" s="27">
        <v>6.3E-2</v>
      </c>
      <c r="AK26" s="20"/>
      <c r="AL26" s="27">
        <v>6.3E-2</v>
      </c>
      <c r="AM26" s="35"/>
      <c r="AN26" s="33">
        <f t="shared" si="14"/>
        <v>0.189</v>
      </c>
      <c r="AO26" s="33">
        <f t="shared" si="14"/>
        <v>0</v>
      </c>
      <c r="AP26" s="45" t="s">
        <v>128</v>
      </c>
      <c r="AQ26" s="45"/>
      <c r="AR26" s="45">
        <v>1</v>
      </c>
      <c r="AS26" s="45"/>
      <c r="AT26" s="45">
        <v>1</v>
      </c>
      <c r="AU26" s="45"/>
      <c r="AV26" s="21">
        <f t="shared" si="15"/>
        <v>0.504</v>
      </c>
      <c r="AW26" s="21">
        <f t="shared" si="15"/>
        <v>0</v>
      </c>
      <c r="AX26" s="22" t="str">
        <f t="shared" si="9"/>
        <v/>
      </c>
      <c r="AY26" s="22">
        <f t="shared" si="5"/>
        <v>0</v>
      </c>
      <c r="AZ26" s="22">
        <f t="shared" si="6"/>
        <v>0</v>
      </c>
      <c r="BA26" s="22">
        <f t="shared" si="7"/>
        <v>0</v>
      </c>
      <c r="BB26" s="84">
        <f t="shared" si="8"/>
        <v>0</v>
      </c>
      <c r="BC26" s="109" t="s">
        <v>105</v>
      </c>
      <c r="BD26" s="135">
        <v>0</v>
      </c>
    </row>
    <row r="27" spans="1:56" ht="88.5" customHeight="1" thickBot="1" x14ac:dyDescent="0.25">
      <c r="A27" s="121" t="s">
        <v>45</v>
      </c>
      <c r="B27" s="122" t="s">
        <v>1</v>
      </c>
      <c r="C27" s="122" t="s">
        <v>30</v>
      </c>
      <c r="D27" s="123">
        <v>1</v>
      </c>
      <c r="E27" s="124" t="s">
        <v>43</v>
      </c>
      <c r="F27" s="125" t="s">
        <v>71</v>
      </c>
      <c r="G27" s="126" t="s">
        <v>72</v>
      </c>
      <c r="H27" s="123">
        <v>1</v>
      </c>
      <c r="I27" s="123">
        <v>1</v>
      </c>
      <c r="J27" s="74">
        <v>8.3299999999999999E-2</v>
      </c>
      <c r="K27" s="74">
        <v>8.3299999999999999E-2</v>
      </c>
      <c r="L27" s="74">
        <v>8.3299999999999999E-2</v>
      </c>
      <c r="M27" s="74">
        <v>8.3299999999999999E-2</v>
      </c>
      <c r="N27" s="74">
        <v>8.3299999999999999E-2</v>
      </c>
      <c r="O27" s="74">
        <v>8.3299999999999999E-2</v>
      </c>
      <c r="P27" s="75">
        <f t="shared" si="11"/>
        <v>0.24990000000000001</v>
      </c>
      <c r="Q27" s="75">
        <f t="shared" si="11"/>
        <v>0.24990000000000001</v>
      </c>
      <c r="R27" s="74">
        <v>8.3299999999999999E-2</v>
      </c>
      <c r="S27" s="74">
        <v>8.3299999999999999E-2</v>
      </c>
      <c r="T27" s="74"/>
      <c r="U27" s="74">
        <v>8.3299999999999999E-2</v>
      </c>
      <c r="V27" s="74">
        <v>8.3299999999999999E-2</v>
      </c>
      <c r="W27" s="76"/>
      <c r="X27" s="75">
        <f t="shared" si="12"/>
        <v>0.1666</v>
      </c>
      <c r="Y27" s="75">
        <f t="shared" si="12"/>
        <v>0.1666</v>
      </c>
      <c r="Z27" s="74">
        <v>8.3299999999999999E-2</v>
      </c>
      <c r="AA27" s="77"/>
      <c r="AB27" s="74">
        <v>8.3299999999999999E-2</v>
      </c>
      <c r="AC27" s="77"/>
      <c r="AD27" s="74">
        <v>8.3299999999999999E-2</v>
      </c>
      <c r="AE27" s="77"/>
      <c r="AF27" s="75">
        <f t="shared" si="13"/>
        <v>0.24990000000000001</v>
      </c>
      <c r="AG27" s="75">
        <f t="shared" si="13"/>
        <v>0</v>
      </c>
      <c r="AH27" s="74">
        <v>8.3299999999999999E-2</v>
      </c>
      <c r="AI27" s="76"/>
      <c r="AJ27" s="74">
        <v>8.3299999999999999E-2</v>
      </c>
      <c r="AK27" s="76"/>
      <c r="AL27" s="74">
        <v>8.3299999999999999E-2</v>
      </c>
      <c r="AM27" s="78"/>
      <c r="AN27" s="75">
        <f t="shared" si="14"/>
        <v>0.24990000000000001</v>
      </c>
      <c r="AO27" s="75">
        <f t="shared" si="14"/>
        <v>0</v>
      </c>
      <c r="AP27" s="79">
        <v>100</v>
      </c>
      <c r="AQ27" s="79"/>
      <c r="AR27" s="79">
        <v>100</v>
      </c>
      <c r="AS27" s="79"/>
      <c r="AT27" s="79">
        <v>100</v>
      </c>
      <c r="AU27" s="79"/>
      <c r="AV27" s="80">
        <f t="shared" si="15"/>
        <v>0.9163</v>
      </c>
      <c r="AW27" s="80">
        <f t="shared" si="15"/>
        <v>0.41649999999999998</v>
      </c>
      <c r="AX27" s="81">
        <f t="shared" si="9"/>
        <v>1</v>
      </c>
      <c r="AY27" s="81">
        <f t="shared" si="5"/>
        <v>1</v>
      </c>
      <c r="AZ27" s="81">
        <f t="shared" si="6"/>
        <v>0.625</v>
      </c>
      <c r="BA27" s="81">
        <f t="shared" si="7"/>
        <v>0.45454545454545453</v>
      </c>
      <c r="BB27" s="86">
        <f t="shared" si="8"/>
        <v>0.45454545454545453</v>
      </c>
      <c r="BC27" s="120" t="s">
        <v>150</v>
      </c>
      <c r="BD27" s="127">
        <v>0.33</v>
      </c>
    </row>
  </sheetData>
  <mergeCells count="56">
    <mergeCell ref="A1:B3"/>
    <mergeCell ref="C1:AW3"/>
    <mergeCell ref="A5:A7"/>
    <mergeCell ref="B5:B7"/>
    <mergeCell ref="C5:C7"/>
    <mergeCell ref="D5:D7"/>
    <mergeCell ref="E5:E7"/>
    <mergeCell ref="F5:F7"/>
    <mergeCell ref="G5:G7"/>
    <mergeCell ref="H5:I6"/>
    <mergeCell ref="BC5:BC7"/>
    <mergeCell ref="AB6:AC6"/>
    <mergeCell ref="AD6:AE6"/>
    <mergeCell ref="AF6:AG6"/>
    <mergeCell ref="AH6:AI6"/>
    <mergeCell ref="AT6:AU6"/>
    <mergeCell ref="AL6:AM6"/>
    <mergeCell ref="AN6:AO6"/>
    <mergeCell ref="AP6:AQ6"/>
    <mergeCell ref="AR6:AS6"/>
    <mergeCell ref="BD5:BD7"/>
    <mergeCell ref="J6:K6"/>
    <mergeCell ref="L6:M6"/>
    <mergeCell ref="N6:O6"/>
    <mergeCell ref="P6:Q6"/>
    <mergeCell ref="R6:S6"/>
    <mergeCell ref="T6:U6"/>
    <mergeCell ref="V6:W6"/>
    <mergeCell ref="X6:Y6"/>
    <mergeCell ref="Z6:AA6"/>
    <mergeCell ref="J5:S5"/>
    <mergeCell ref="AP5:AU5"/>
    <mergeCell ref="AV5:AW6"/>
    <mergeCell ref="AX5:BA6"/>
    <mergeCell ref="BB5:BB7"/>
    <mergeCell ref="AJ6:AK6"/>
    <mergeCell ref="A8:A9"/>
    <mergeCell ref="B8:B9"/>
    <mergeCell ref="BD8:BD9"/>
    <mergeCell ref="A10:A15"/>
    <mergeCell ref="C10:C11"/>
    <mergeCell ref="BD10:BD15"/>
    <mergeCell ref="C13:C15"/>
    <mergeCell ref="A23:A25"/>
    <mergeCell ref="BD23:BD25"/>
    <mergeCell ref="B10:B15"/>
    <mergeCell ref="B16:B17"/>
    <mergeCell ref="B18:B19"/>
    <mergeCell ref="B23:B25"/>
    <mergeCell ref="A16:A17"/>
    <mergeCell ref="BD16:BD17"/>
    <mergeCell ref="A18:A19"/>
    <mergeCell ref="BD18:BD19"/>
    <mergeCell ref="A20:A22"/>
    <mergeCell ref="B20:B22"/>
    <mergeCell ref="BD20:BD22"/>
  </mergeCells>
  <dataValidations count="5">
    <dataValidation allowBlank="1" showInputMessage="1" showErrorMessage="1" promptTitle="Actividades" prompt="Registre las actividades macro que se requieren realizar para lograr la meta" sqref="F27:I27 F25 F8:I9 F18 AP8:AU9 AP27:AU27" xr:uid="{00000000-0002-0000-0500-000000000000}"/>
    <dataValidation allowBlank="1" showInputMessage="1" showErrorMessage="1" prompt="Registre las actividades macro que se requieren para cumplir las metas" sqref="F26:I26 F19 F10:I15 AP10:AU15 AP26:AU26" xr:uid="{00000000-0002-0000-0500-000001000000}"/>
    <dataValidation allowBlank="1" showInputMessage="1" showErrorMessage="1" prompt="Registre el o los productos o entregables que servirán de evidencia  " sqref="G11:G15 G19" xr:uid="{00000000-0002-0000-0500-000002000000}"/>
    <dataValidation allowBlank="1" showInputMessage="1" showErrorMessage="1" promptTitle="Producto" prompt="Describa el resultado de lo que se espera alcanzar cuando se cumpla la meta" sqref="G8:G9 G27 G18 G25" xr:uid="{00000000-0002-0000-0500-000003000000}"/>
    <dataValidation allowBlank="1" showInputMessage="1" showErrorMessage="1" prompt="Registre la meta o las metas que se desarrollarán para el cumplimiento del Objetivo en 2021." sqref="D24:E25" xr:uid="{00000000-0002-0000-0500-000004000000}"/>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483BB-D69F-4CB5-B58F-F01573C8B231}">
  <sheetPr>
    <tabColor theme="4" tint="0.39997558519241921"/>
  </sheetPr>
  <dimension ref="A1:BP23"/>
  <sheetViews>
    <sheetView tabSelected="1" zoomScale="73" zoomScaleNormal="73" workbookViewId="0">
      <pane xSplit="2" ySplit="6" topLeftCell="C23" activePane="bottomRight" state="frozen"/>
      <selection pane="topRight" activeCell="C1" sqref="C1"/>
      <selection pane="bottomLeft" activeCell="A7" sqref="A7"/>
      <selection pane="bottomRight" activeCell="F23" sqref="F23"/>
    </sheetView>
  </sheetViews>
  <sheetFormatPr baseColWidth="10" defaultColWidth="0" defaultRowHeight="9" x14ac:dyDescent="0.15"/>
  <cols>
    <col min="1" max="1" width="14.42578125" style="452" customWidth="1"/>
    <col min="2" max="2" width="31.7109375" style="452" customWidth="1"/>
    <col min="3" max="3" width="29.42578125" style="453" customWidth="1"/>
    <col min="4" max="4" width="17" style="452" customWidth="1"/>
    <col min="5" max="5" width="30.85546875" style="452" customWidth="1"/>
    <col min="6" max="6" width="61.140625" style="452" customWidth="1"/>
    <col min="7" max="7" width="58.5703125" style="452" customWidth="1"/>
    <col min="8" max="9" width="19.42578125" style="452" customWidth="1"/>
    <col min="10" max="10" width="22.28515625" style="452" customWidth="1"/>
    <col min="11" max="14" width="9.42578125" style="452" customWidth="1"/>
    <col min="15" max="15" width="10.85546875" style="452" customWidth="1"/>
    <col min="16" max="16" width="9.42578125" style="452" customWidth="1"/>
    <col min="17" max="20" width="9.42578125" style="452" hidden="1" customWidth="1"/>
    <col min="21" max="52" width="10.7109375" style="452" customWidth="1"/>
    <col min="53" max="57" width="10.7109375" style="452" hidden="1" customWidth="1"/>
    <col min="58" max="58" width="5.42578125" style="452" hidden="1" customWidth="1"/>
    <col min="59" max="59" width="10.42578125" style="452" customWidth="1"/>
    <col min="60" max="60" width="10.140625" style="452" customWidth="1"/>
    <col min="61" max="61" width="9.140625" style="452" customWidth="1"/>
    <col min="62" max="62" width="10" style="452" customWidth="1"/>
    <col min="63" max="64" width="9.42578125" style="452" customWidth="1"/>
    <col min="65" max="65" width="17.7109375" style="452" customWidth="1"/>
    <col min="66" max="66" width="110.28515625" style="453" customWidth="1"/>
    <col min="67" max="67" width="31.5703125" style="452" customWidth="1"/>
    <col min="68" max="68" width="0" style="452" hidden="1" customWidth="1"/>
    <col min="69" max="16384" width="22.42578125" style="452" hidden="1"/>
  </cols>
  <sheetData>
    <row r="1" spans="1:68" s="434" customFormat="1" ht="21" customHeight="1" x14ac:dyDescent="0.15">
      <c r="A1" s="633"/>
      <c r="B1" s="633"/>
      <c r="C1" s="634" t="s">
        <v>130</v>
      </c>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c r="AW1" s="634"/>
      <c r="AX1" s="634"/>
      <c r="AY1" s="634"/>
      <c r="AZ1" s="634"/>
      <c r="BA1" s="634"/>
      <c r="BB1" s="634"/>
      <c r="BC1" s="634"/>
      <c r="BD1" s="634"/>
      <c r="BE1" s="634"/>
      <c r="BF1" s="634"/>
      <c r="BG1" s="634"/>
      <c r="BH1" s="634"/>
      <c r="BI1" s="634"/>
      <c r="BJ1" s="634"/>
      <c r="BK1" s="634"/>
      <c r="BL1" s="634"/>
      <c r="BM1" s="634"/>
      <c r="BN1" s="634"/>
      <c r="BO1" s="380" t="s">
        <v>189</v>
      </c>
      <c r="BP1" s="380"/>
    </row>
    <row r="2" spans="1:68" s="434" customFormat="1" ht="16.5" customHeight="1" x14ac:dyDescent="0.25">
      <c r="A2" s="633"/>
      <c r="B2" s="633"/>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c r="AG2" s="634"/>
      <c r="AH2" s="634"/>
      <c r="AI2" s="634"/>
      <c r="AJ2" s="634"/>
      <c r="AK2" s="634"/>
      <c r="AL2" s="634"/>
      <c r="AM2" s="634"/>
      <c r="AN2" s="634"/>
      <c r="AO2" s="634"/>
      <c r="AP2" s="634"/>
      <c r="AQ2" s="634"/>
      <c r="AR2" s="634"/>
      <c r="AS2" s="634"/>
      <c r="AT2" s="634"/>
      <c r="AU2" s="634"/>
      <c r="AV2" s="634"/>
      <c r="AW2" s="634"/>
      <c r="AX2" s="634"/>
      <c r="AY2" s="634"/>
      <c r="AZ2" s="634"/>
      <c r="BA2" s="634"/>
      <c r="BB2" s="634"/>
      <c r="BC2" s="634"/>
      <c r="BD2" s="634"/>
      <c r="BE2" s="634"/>
      <c r="BF2" s="634"/>
      <c r="BG2" s="634"/>
      <c r="BH2" s="634"/>
      <c r="BI2" s="634"/>
      <c r="BJ2" s="634"/>
      <c r="BK2" s="634"/>
      <c r="BL2" s="634"/>
      <c r="BM2" s="634"/>
      <c r="BN2" s="634"/>
      <c r="BO2" s="380" t="s">
        <v>190</v>
      </c>
      <c r="BP2" s="435"/>
    </row>
    <row r="3" spans="1:68" s="434" customFormat="1" ht="41.25" customHeight="1" x14ac:dyDescent="0.25">
      <c r="A3" s="633"/>
      <c r="B3" s="633"/>
      <c r="C3" s="634"/>
      <c r="D3" s="634"/>
      <c r="E3" s="634"/>
      <c r="F3" s="634"/>
      <c r="G3" s="634"/>
      <c r="H3" s="634"/>
      <c r="I3" s="634"/>
      <c r="J3" s="634"/>
      <c r="K3" s="634"/>
      <c r="L3" s="634"/>
      <c r="M3" s="634"/>
      <c r="N3" s="634"/>
      <c r="O3" s="634"/>
      <c r="P3" s="634"/>
      <c r="Q3" s="634"/>
      <c r="R3" s="634"/>
      <c r="S3" s="634"/>
      <c r="T3" s="634"/>
      <c r="U3" s="634"/>
      <c r="V3" s="634"/>
      <c r="W3" s="634"/>
      <c r="X3" s="634"/>
      <c r="Y3" s="634"/>
      <c r="Z3" s="634"/>
      <c r="AA3" s="634"/>
      <c r="AB3" s="634"/>
      <c r="AC3" s="634"/>
      <c r="AD3" s="634"/>
      <c r="AE3" s="634"/>
      <c r="AF3" s="634"/>
      <c r="AG3" s="634"/>
      <c r="AH3" s="634"/>
      <c r="AI3" s="634"/>
      <c r="AJ3" s="634"/>
      <c r="AK3" s="634"/>
      <c r="AL3" s="634"/>
      <c r="AM3" s="634"/>
      <c r="AN3" s="634"/>
      <c r="AO3" s="634"/>
      <c r="AP3" s="634"/>
      <c r="AQ3" s="634"/>
      <c r="AR3" s="634"/>
      <c r="AS3" s="634"/>
      <c r="AT3" s="634"/>
      <c r="AU3" s="634"/>
      <c r="AV3" s="634"/>
      <c r="AW3" s="634"/>
      <c r="AX3" s="634"/>
      <c r="AY3" s="634"/>
      <c r="AZ3" s="634"/>
      <c r="BA3" s="634"/>
      <c r="BB3" s="634"/>
      <c r="BC3" s="634"/>
      <c r="BD3" s="634"/>
      <c r="BE3" s="634"/>
      <c r="BF3" s="634"/>
      <c r="BG3" s="634"/>
      <c r="BH3" s="634"/>
      <c r="BI3" s="634"/>
      <c r="BJ3" s="634"/>
      <c r="BK3" s="634"/>
      <c r="BL3" s="634"/>
      <c r="BM3" s="634"/>
      <c r="BN3" s="634"/>
      <c r="BO3" s="380" t="s">
        <v>191</v>
      </c>
      <c r="BP3" s="435"/>
    </row>
    <row r="4" spans="1:68" s="454" customFormat="1" ht="22.5" customHeight="1" x14ac:dyDescent="0.25">
      <c r="A4" s="635" t="s">
        <v>51</v>
      </c>
      <c r="B4" s="635" t="s">
        <v>17</v>
      </c>
      <c r="C4" s="635" t="s">
        <v>18</v>
      </c>
      <c r="D4" s="635" t="s">
        <v>61</v>
      </c>
      <c r="E4" s="635" t="s">
        <v>16</v>
      </c>
      <c r="F4" s="635" t="s">
        <v>15</v>
      </c>
      <c r="G4" s="635" t="s">
        <v>14</v>
      </c>
      <c r="H4" s="635" t="s">
        <v>334</v>
      </c>
      <c r="I4" s="635" t="s">
        <v>335</v>
      </c>
      <c r="J4" s="635" t="s">
        <v>336</v>
      </c>
      <c r="K4" s="632" t="s">
        <v>155</v>
      </c>
      <c r="L4" s="632"/>
      <c r="M4" s="632" t="s">
        <v>333</v>
      </c>
      <c r="N4" s="632"/>
      <c r="O4" s="632" t="s">
        <v>393</v>
      </c>
      <c r="P4" s="632"/>
      <c r="Q4" s="632" t="s">
        <v>409</v>
      </c>
      <c r="R4" s="632"/>
      <c r="S4" s="632" t="s">
        <v>410</v>
      </c>
      <c r="T4" s="632"/>
      <c r="U4" s="637" t="s">
        <v>304</v>
      </c>
      <c r="V4" s="638"/>
      <c r="W4" s="638"/>
      <c r="X4" s="638"/>
      <c r="Y4" s="638"/>
      <c r="Z4" s="638"/>
      <c r="AA4" s="638"/>
      <c r="AB4" s="638"/>
      <c r="AC4" s="638"/>
      <c r="AD4" s="638"/>
      <c r="AE4" s="638"/>
      <c r="AF4" s="638"/>
      <c r="AG4" s="638"/>
      <c r="AH4" s="638"/>
      <c r="AI4" s="638"/>
      <c r="AJ4" s="638"/>
      <c r="AK4" s="638"/>
      <c r="AL4" s="638"/>
      <c r="AM4" s="638"/>
      <c r="AN4" s="638"/>
      <c r="AO4" s="638"/>
      <c r="AP4" s="638"/>
      <c r="AQ4" s="638"/>
      <c r="AR4" s="638"/>
      <c r="AS4" s="638"/>
      <c r="AT4" s="638"/>
      <c r="AU4" s="638"/>
      <c r="AV4" s="638"/>
      <c r="AW4" s="638"/>
      <c r="AX4" s="638"/>
      <c r="AY4" s="638"/>
      <c r="AZ4" s="638"/>
      <c r="BA4" s="638"/>
      <c r="BB4" s="638"/>
      <c r="BC4" s="638"/>
      <c r="BD4" s="638"/>
      <c r="BE4" s="638"/>
      <c r="BF4" s="638"/>
      <c r="BG4" s="638"/>
      <c r="BH4" s="639"/>
      <c r="BI4" s="640" t="s">
        <v>9</v>
      </c>
      <c r="BJ4" s="640"/>
      <c r="BK4" s="640"/>
      <c r="BL4" s="640"/>
      <c r="BM4" s="640" t="s">
        <v>8</v>
      </c>
      <c r="BN4" s="635" t="s">
        <v>134</v>
      </c>
      <c r="BO4" s="635" t="s">
        <v>439</v>
      </c>
    </row>
    <row r="5" spans="1:68" s="454" customFormat="1" ht="38.25" customHeight="1" x14ac:dyDescent="0.25">
      <c r="A5" s="635"/>
      <c r="B5" s="635"/>
      <c r="C5" s="635"/>
      <c r="D5" s="635"/>
      <c r="E5" s="635"/>
      <c r="F5" s="635"/>
      <c r="G5" s="635"/>
      <c r="H5" s="635"/>
      <c r="I5" s="635"/>
      <c r="J5" s="635"/>
      <c r="K5" s="632"/>
      <c r="L5" s="632"/>
      <c r="M5" s="632"/>
      <c r="N5" s="632"/>
      <c r="O5" s="632"/>
      <c r="P5" s="632"/>
      <c r="Q5" s="632"/>
      <c r="R5" s="632"/>
      <c r="S5" s="632"/>
      <c r="T5" s="632"/>
      <c r="U5" s="632" t="s">
        <v>110</v>
      </c>
      <c r="V5" s="632"/>
      <c r="W5" s="632" t="s">
        <v>111</v>
      </c>
      <c r="X5" s="632"/>
      <c r="Y5" s="632" t="s">
        <v>112</v>
      </c>
      <c r="Z5" s="632"/>
      <c r="AA5" s="636" t="s">
        <v>13</v>
      </c>
      <c r="AB5" s="636"/>
      <c r="AC5" s="632" t="s">
        <v>113</v>
      </c>
      <c r="AD5" s="632"/>
      <c r="AE5" s="632" t="s">
        <v>114</v>
      </c>
      <c r="AF5" s="632"/>
      <c r="AG5" s="632" t="s">
        <v>115</v>
      </c>
      <c r="AH5" s="632"/>
      <c r="AI5" s="636" t="s">
        <v>12</v>
      </c>
      <c r="AJ5" s="636"/>
      <c r="AK5" s="632" t="s">
        <v>116</v>
      </c>
      <c r="AL5" s="632"/>
      <c r="AM5" s="632" t="s">
        <v>117</v>
      </c>
      <c r="AN5" s="632"/>
      <c r="AO5" s="632" t="s">
        <v>118</v>
      </c>
      <c r="AP5" s="632"/>
      <c r="AQ5" s="636" t="s">
        <v>11</v>
      </c>
      <c r="AR5" s="636"/>
      <c r="AS5" s="632" t="s">
        <v>119</v>
      </c>
      <c r="AT5" s="632"/>
      <c r="AU5" s="632" t="s">
        <v>120</v>
      </c>
      <c r="AV5" s="632"/>
      <c r="AW5" s="632" t="s">
        <v>121</v>
      </c>
      <c r="AX5" s="632"/>
      <c r="AY5" s="636" t="s">
        <v>10</v>
      </c>
      <c r="AZ5" s="636"/>
      <c r="BA5" s="641">
        <v>2022</v>
      </c>
      <c r="BB5" s="641"/>
      <c r="BC5" s="641">
        <v>2023</v>
      </c>
      <c r="BD5" s="641"/>
      <c r="BE5" s="641">
        <v>2024</v>
      </c>
      <c r="BF5" s="641"/>
      <c r="BG5" s="642" t="s">
        <v>392</v>
      </c>
      <c r="BH5" s="643"/>
      <c r="BI5" s="640"/>
      <c r="BJ5" s="640"/>
      <c r="BK5" s="640"/>
      <c r="BL5" s="640"/>
      <c r="BM5" s="640"/>
      <c r="BN5" s="635"/>
      <c r="BO5" s="635"/>
    </row>
    <row r="6" spans="1:68" s="386" customFormat="1" ht="38.25" customHeight="1" x14ac:dyDescent="0.25">
      <c r="A6" s="635"/>
      <c r="B6" s="635"/>
      <c r="C6" s="635"/>
      <c r="D6" s="635"/>
      <c r="E6" s="635"/>
      <c r="F6" s="635"/>
      <c r="G6" s="635"/>
      <c r="H6" s="635"/>
      <c r="I6" s="635"/>
      <c r="J6" s="635"/>
      <c r="K6" s="381" t="s">
        <v>7</v>
      </c>
      <c r="L6" s="381" t="s">
        <v>6</v>
      </c>
      <c r="M6" s="381" t="s">
        <v>7</v>
      </c>
      <c r="N6" s="381" t="s">
        <v>6</v>
      </c>
      <c r="O6" s="381" t="s">
        <v>7</v>
      </c>
      <c r="P6" s="381" t="s">
        <v>6</v>
      </c>
      <c r="Q6" s="381" t="s">
        <v>7</v>
      </c>
      <c r="R6" s="381" t="s">
        <v>6</v>
      </c>
      <c r="S6" s="381" t="s">
        <v>7</v>
      </c>
      <c r="T6" s="381" t="s">
        <v>6</v>
      </c>
      <c r="U6" s="381" t="s">
        <v>7</v>
      </c>
      <c r="V6" s="381" t="s">
        <v>6</v>
      </c>
      <c r="W6" s="381" t="s">
        <v>7</v>
      </c>
      <c r="X6" s="381" t="s">
        <v>6</v>
      </c>
      <c r="Y6" s="381" t="s">
        <v>7</v>
      </c>
      <c r="Z6" s="381" t="s">
        <v>6</v>
      </c>
      <c r="AA6" s="382" t="s">
        <v>7</v>
      </c>
      <c r="AB6" s="382" t="s">
        <v>6</v>
      </c>
      <c r="AC6" s="381" t="s">
        <v>7</v>
      </c>
      <c r="AD6" s="381" t="s">
        <v>6</v>
      </c>
      <c r="AE6" s="381" t="s">
        <v>7</v>
      </c>
      <c r="AF6" s="381" t="s">
        <v>6</v>
      </c>
      <c r="AG6" s="381" t="s">
        <v>7</v>
      </c>
      <c r="AH6" s="381" t="s">
        <v>6</v>
      </c>
      <c r="AI6" s="382" t="s">
        <v>7</v>
      </c>
      <c r="AJ6" s="382" t="s">
        <v>6</v>
      </c>
      <c r="AK6" s="381" t="s">
        <v>7</v>
      </c>
      <c r="AL6" s="381" t="s">
        <v>6</v>
      </c>
      <c r="AM6" s="381" t="s">
        <v>7</v>
      </c>
      <c r="AN6" s="381" t="s">
        <v>6</v>
      </c>
      <c r="AO6" s="381" t="s">
        <v>7</v>
      </c>
      <c r="AP6" s="381" t="s">
        <v>6</v>
      </c>
      <c r="AQ6" s="382" t="s">
        <v>7</v>
      </c>
      <c r="AR6" s="382" t="s">
        <v>6</v>
      </c>
      <c r="AS6" s="381" t="s">
        <v>7</v>
      </c>
      <c r="AT6" s="381" t="s">
        <v>6</v>
      </c>
      <c r="AU6" s="381" t="s">
        <v>7</v>
      </c>
      <c r="AV6" s="381" t="s">
        <v>6</v>
      </c>
      <c r="AW6" s="381" t="s">
        <v>7</v>
      </c>
      <c r="AX6" s="381" t="s">
        <v>6</v>
      </c>
      <c r="AY6" s="382" t="s">
        <v>7</v>
      </c>
      <c r="AZ6" s="382" t="s">
        <v>6</v>
      </c>
      <c r="BA6" s="383" t="s">
        <v>7</v>
      </c>
      <c r="BB6" s="383" t="s">
        <v>6</v>
      </c>
      <c r="BC6" s="383" t="s">
        <v>7</v>
      </c>
      <c r="BD6" s="383" t="s">
        <v>6</v>
      </c>
      <c r="BE6" s="383" t="s">
        <v>7</v>
      </c>
      <c r="BF6" s="383" t="s">
        <v>6</v>
      </c>
      <c r="BG6" s="384" t="s">
        <v>7</v>
      </c>
      <c r="BH6" s="384" t="s">
        <v>6</v>
      </c>
      <c r="BI6" s="385" t="s">
        <v>5</v>
      </c>
      <c r="BJ6" s="385" t="s">
        <v>4</v>
      </c>
      <c r="BK6" s="385" t="s">
        <v>3</v>
      </c>
      <c r="BL6" s="385" t="s">
        <v>2</v>
      </c>
      <c r="BM6" s="640"/>
      <c r="BN6" s="635"/>
      <c r="BO6" s="635"/>
    </row>
    <row r="7" spans="1:68" s="441" customFormat="1" ht="117.75" customHeight="1" x14ac:dyDescent="0.25">
      <c r="A7" s="389" t="s">
        <v>45</v>
      </c>
      <c r="B7" s="408" t="s">
        <v>19</v>
      </c>
      <c r="C7" s="389" t="s">
        <v>20</v>
      </c>
      <c r="D7" s="387">
        <v>1</v>
      </c>
      <c r="E7" s="408" t="s">
        <v>399</v>
      </c>
      <c r="F7" s="388" t="s">
        <v>44</v>
      </c>
      <c r="G7" s="388" t="s">
        <v>135</v>
      </c>
      <c r="H7" s="389" t="s">
        <v>337</v>
      </c>
      <c r="I7" s="389" t="s">
        <v>45</v>
      </c>
      <c r="J7" s="389" t="s">
        <v>400</v>
      </c>
      <c r="K7" s="391">
        <v>1</v>
      </c>
      <c r="L7" s="391">
        <v>1</v>
      </c>
      <c r="M7" s="391">
        <v>1</v>
      </c>
      <c r="N7" s="410"/>
      <c r="O7" s="391">
        <v>1</v>
      </c>
      <c r="P7" s="410"/>
      <c r="Q7" s="391">
        <v>1</v>
      </c>
      <c r="R7" s="410"/>
      <c r="S7" s="391">
        <v>1</v>
      </c>
      <c r="T7" s="410"/>
      <c r="U7" s="471">
        <f t="shared" ref="U7:Z9" si="0">8.33/100</f>
        <v>8.3299999999999999E-2</v>
      </c>
      <c r="V7" s="471">
        <f t="shared" si="0"/>
        <v>8.3299999999999999E-2</v>
      </c>
      <c r="W7" s="471">
        <f t="shared" si="0"/>
        <v>8.3299999999999999E-2</v>
      </c>
      <c r="X7" s="471">
        <f t="shared" si="0"/>
        <v>8.3299999999999999E-2</v>
      </c>
      <c r="Y7" s="471">
        <f t="shared" si="0"/>
        <v>8.3299999999999999E-2</v>
      </c>
      <c r="Z7" s="471">
        <f t="shared" si="0"/>
        <v>8.3299999999999999E-2</v>
      </c>
      <c r="AA7" s="473">
        <f>SUM(U7,W7,Y7)</f>
        <v>0.24990000000000001</v>
      </c>
      <c r="AB7" s="473">
        <f>V7+X7+Z7</f>
        <v>0.24990000000000001</v>
      </c>
      <c r="AC7" s="471">
        <f>8.33/100</f>
        <v>8.3299999999999999E-2</v>
      </c>
      <c r="AD7" s="471"/>
      <c r="AE7" s="471">
        <f>8.33/100</f>
        <v>8.3299999999999999E-2</v>
      </c>
      <c r="AF7" s="471"/>
      <c r="AG7" s="471">
        <f>8.33/100</f>
        <v>8.3299999999999999E-2</v>
      </c>
      <c r="AH7" s="471"/>
      <c r="AI7" s="473">
        <f>SUM(AC7,AE7,AG7)</f>
        <v>0.24990000000000001</v>
      </c>
      <c r="AJ7" s="473">
        <f>AD7+AF7+AH7</f>
        <v>0</v>
      </c>
      <c r="AK7" s="471">
        <f>8.33/100</f>
        <v>8.3299999999999999E-2</v>
      </c>
      <c r="AL7" s="471"/>
      <c r="AM7" s="471">
        <f>8.33/100</f>
        <v>8.3299999999999999E-2</v>
      </c>
      <c r="AN7" s="471"/>
      <c r="AO7" s="471">
        <f>8.33/100</f>
        <v>8.3299999999999999E-2</v>
      </c>
      <c r="AP7" s="471"/>
      <c r="AQ7" s="473">
        <f>SUM(AK7,AM7,AO7)</f>
        <v>0.24990000000000001</v>
      </c>
      <c r="AR7" s="473">
        <f>AL7+AN7+AP7</f>
        <v>0</v>
      </c>
      <c r="AS7" s="471">
        <f>8.33/100</f>
        <v>8.3299999999999999E-2</v>
      </c>
      <c r="AT7" s="471"/>
      <c r="AU7" s="471">
        <f>8.33/100</f>
        <v>8.3299999999999999E-2</v>
      </c>
      <c r="AV7" s="471"/>
      <c r="AW7" s="471">
        <f>8.33/100</f>
        <v>8.3299999999999999E-2</v>
      </c>
      <c r="AX7" s="471"/>
      <c r="AY7" s="473">
        <f>SUM(AS7,AU7,AW7)</f>
        <v>0.24990000000000001</v>
      </c>
      <c r="AZ7" s="473">
        <f>AT7+AV7+AX7</f>
        <v>0</v>
      </c>
      <c r="BA7" s="396">
        <v>2</v>
      </c>
      <c r="BB7" s="396"/>
      <c r="BC7" s="396">
        <v>2</v>
      </c>
      <c r="BD7" s="396"/>
      <c r="BE7" s="396">
        <v>2</v>
      </c>
      <c r="BF7" s="396"/>
      <c r="BG7" s="475">
        <f t="shared" ref="BG7:BH9" si="1">AA7+AI7+AQ7+AY7</f>
        <v>0.99960000000000004</v>
      </c>
      <c r="BH7" s="475">
        <f t="shared" si="1"/>
        <v>0.24990000000000001</v>
      </c>
      <c r="BI7" s="398">
        <f>IFERROR(AB7/AA7,"")</f>
        <v>1</v>
      </c>
      <c r="BJ7" s="398">
        <f>IFERROR((AB7+AJ7)/(AA7+AI7),"")</f>
        <v>0.5</v>
      </c>
      <c r="BK7" s="398">
        <f t="shared" ref="BK7:BK23" si="2">IFERROR((AB7+AJ7+AR7)/(AA7+AI7+AQ7),"")</f>
        <v>0.33333333333333331</v>
      </c>
      <c r="BL7" s="398">
        <f t="shared" ref="BL7:BL23" si="3">IFERROR((AB7+AJ7+AR7+AZ7)/(AA7+AI7+AQ7+AY7),"")</f>
        <v>0.25</v>
      </c>
      <c r="BM7" s="399">
        <f t="shared" ref="BM7:BM23" si="4">IFERROR(BH7/BG7,"")</f>
        <v>0.25</v>
      </c>
      <c r="BN7" s="500" t="s">
        <v>431</v>
      </c>
      <c r="BO7" s="502">
        <f>BI7</f>
        <v>1</v>
      </c>
    </row>
    <row r="8" spans="1:68" s="441" customFormat="1" ht="101.25" customHeight="1" x14ac:dyDescent="0.25">
      <c r="A8" s="644" t="s">
        <v>46</v>
      </c>
      <c r="B8" s="646" t="s">
        <v>21</v>
      </c>
      <c r="C8" s="646" t="s">
        <v>22</v>
      </c>
      <c r="D8" s="401">
        <v>0.5</v>
      </c>
      <c r="E8" s="408" t="s">
        <v>330</v>
      </c>
      <c r="F8" s="389" t="s">
        <v>331</v>
      </c>
      <c r="G8" s="389" t="s">
        <v>332</v>
      </c>
      <c r="H8" s="389" t="s">
        <v>337</v>
      </c>
      <c r="I8" s="389" t="s">
        <v>338</v>
      </c>
      <c r="J8" s="389" t="s">
        <v>339</v>
      </c>
      <c r="K8" s="391">
        <v>1</v>
      </c>
      <c r="L8" s="391">
        <v>1</v>
      </c>
      <c r="M8" s="391">
        <v>1</v>
      </c>
      <c r="N8" s="391">
        <v>0.57999999999999996</v>
      </c>
      <c r="O8" s="391">
        <v>1</v>
      </c>
      <c r="P8" s="391"/>
      <c r="Q8" s="391">
        <v>1</v>
      </c>
      <c r="R8" s="391"/>
      <c r="S8" s="391"/>
      <c r="T8" s="391"/>
      <c r="U8" s="471">
        <f t="shared" si="0"/>
        <v>8.3299999999999999E-2</v>
      </c>
      <c r="V8" s="471">
        <f t="shared" si="0"/>
        <v>8.3299999999999999E-2</v>
      </c>
      <c r="W8" s="471">
        <f t="shared" si="0"/>
        <v>8.3299999999999999E-2</v>
      </c>
      <c r="X8" s="471">
        <f t="shared" si="0"/>
        <v>8.3299999999999999E-2</v>
      </c>
      <c r="Y8" s="471">
        <f t="shared" si="0"/>
        <v>8.3299999999999999E-2</v>
      </c>
      <c r="Z8" s="471">
        <f t="shared" si="0"/>
        <v>8.3299999999999999E-2</v>
      </c>
      <c r="AA8" s="473">
        <f>SUM(U8,W8,Y8)</f>
        <v>0.24990000000000001</v>
      </c>
      <c r="AB8" s="473">
        <f>V8+X8+Z8</f>
        <v>0.24990000000000001</v>
      </c>
      <c r="AC8" s="471">
        <f>8.33/100</f>
        <v>8.3299999999999999E-2</v>
      </c>
      <c r="AD8" s="472"/>
      <c r="AE8" s="471">
        <f>8.33/100</f>
        <v>8.3299999999999999E-2</v>
      </c>
      <c r="AF8" s="472"/>
      <c r="AG8" s="471">
        <f>8.33/100</f>
        <v>8.3299999999999999E-2</v>
      </c>
      <c r="AH8" s="472"/>
      <c r="AI8" s="473">
        <f>SUM(AC8,AE8,AG8)</f>
        <v>0.24990000000000001</v>
      </c>
      <c r="AJ8" s="474">
        <f t="shared" ref="AJ8" si="5">SUM(AD8,AF8,AH8)</f>
        <v>0</v>
      </c>
      <c r="AK8" s="471">
        <f>8.33/100</f>
        <v>8.3299999999999999E-2</v>
      </c>
      <c r="AL8" s="472"/>
      <c r="AM8" s="471">
        <f>8.33/100</f>
        <v>8.3299999999999999E-2</v>
      </c>
      <c r="AN8" s="472"/>
      <c r="AO8" s="471">
        <f>8.33/100</f>
        <v>8.3299999999999999E-2</v>
      </c>
      <c r="AP8" s="472"/>
      <c r="AQ8" s="473">
        <f>SUM(AK8,AM8,AO8)</f>
        <v>0.24990000000000001</v>
      </c>
      <c r="AR8" s="474">
        <f t="shared" ref="AR8" si="6">SUM(AL8,AN8,AP8)</f>
        <v>0</v>
      </c>
      <c r="AS8" s="471">
        <f>8.33/100</f>
        <v>8.3299999999999999E-2</v>
      </c>
      <c r="AT8" s="472"/>
      <c r="AU8" s="471">
        <f>8.33/100</f>
        <v>8.3299999999999999E-2</v>
      </c>
      <c r="AV8" s="472"/>
      <c r="AW8" s="471">
        <f>8.33/100</f>
        <v>8.3299999999999999E-2</v>
      </c>
      <c r="AX8" s="472"/>
      <c r="AY8" s="473">
        <f>SUM(AS8,AU8,AW8)</f>
        <v>0.24990000000000001</v>
      </c>
      <c r="AZ8" s="474">
        <f t="shared" ref="AZ8" si="7">SUM(AT8,AV8,AX8)</f>
        <v>0</v>
      </c>
      <c r="BA8" s="396">
        <v>2</v>
      </c>
      <c r="BB8" s="396"/>
      <c r="BC8" s="396">
        <v>2</v>
      </c>
      <c r="BD8" s="396"/>
      <c r="BE8" s="396">
        <v>2</v>
      </c>
      <c r="BF8" s="396"/>
      <c r="BG8" s="475">
        <f t="shared" si="1"/>
        <v>0.99960000000000004</v>
      </c>
      <c r="BH8" s="475">
        <f t="shared" si="1"/>
        <v>0.24990000000000001</v>
      </c>
      <c r="BI8" s="398">
        <f>IFERROR(AB8/AA8,"")</f>
        <v>1</v>
      </c>
      <c r="BJ8" s="398">
        <f>IFERROR((AB8+AJ8)/(AA8+AI8),"")</f>
        <v>0.5</v>
      </c>
      <c r="BK8" s="398">
        <f t="shared" ref="BK8" si="8">IFERROR((AB8+AJ8+AR8)/(AA8+AI8+AQ8),"")</f>
        <v>0.33333333333333331</v>
      </c>
      <c r="BL8" s="398">
        <f t="shared" ref="BL8" si="9">IFERROR((AB8+AJ8+AR8+AZ8)/(AA8+AI8+AQ8+AY8),"")</f>
        <v>0.25</v>
      </c>
      <c r="BM8" s="399">
        <f t="shared" ref="BM8" si="10">IFERROR(BH8/BG8,"")</f>
        <v>0.25</v>
      </c>
      <c r="BN8" s="476" t="s">
        <v>432</v>
      </c>
      <c r="BO8" s="629">
        <f>AVERAGE(BI8,BI9,BI11,BI12)</f>
        <v>1</v>
      </c>
    </row>
    <row r="9" spans="1:68" s="441" customFormat="1" ht="81" customHeight="1" x14ac:dyDescent="0.25">
      <c r="A9" s="645"/>
      <c r="B9" s="646"/>
      <c r="C9" s="646"/>
      <c r="D9" s="401">
        <v>0.5</v>
      </c>
      <c r="E9" s="408" t="s">
        <v>344</v>
      </c>
      <c r="F9" s="389" t="s">
        <v>340</v>
      </c>
      <c r="G9" s="389" t="s">
        <v>341</v>
      </c>
      <c r="H9" s="389" t="s">
        <v>337</v>
      </c>
      <c r="I9" s="389" t="s">
        <v>338</v>
      </c>
      <c r="J9" s="389" t="s">
        <v>342</v>
      </c>
      <c r="K9" s="400"/>
      <c r="L9" s="400"/>
      <c r="M9" s="391">
        <v>1</v>
      </c>
      <c r="N9" s="391">
        <v>0.95</v>
      </c>
      <c r="O9" s="391" t="s">
        <v>411</v>
      </c>
      <c r="P9" s="410"/>
      <c r="Q9" s="410"/>
      <c r="R9" s="410"/>
      <c r="S9" s="410"/>
      <c r="T9" s="410"/>
      <c r="U9" s="471">
        <f t="shared" si="0"/>
        <v>8.3299999999999999E-2</v>
      </c>
      <c r="V9" s="471">
        <f t="shared" si="0"/>
        <v>8.3299999999999999E-2</v>
      </c>
      <c r="W9" s="471">
        <f t="shared" si="0"/>
        <v>8.3299999999999999E-2</v>
      </c>
      <c r="X9" s="471">
        <f t="shared" si="0"/>
        <v>8.3299999999999999E-2</v>
      </c>
      <c r="Y9" s="471">
        <f t="shared" si="0"/>
        <v>8.3299999999999999E-2</v>
      </c>
      <c r="Z9" s="471">
        <f t="shared" si="0"/>
        <v>8.3299999999999999E-2</v>
      </c>
      <c r="AA9" s="473">
        <f>SUM(U9,W9,Y9)</f>
        <v>0.24990000000000001</v>
      </c>
      <c r="AB9" s="473">
        <f>V9+X9+Z9</f>
        <v>0.24990000000000001</v>
      </c>
      <c r="AC9" s="471">
        <f>8.33/100</f>
        <v>8.3299999999999999E-2</v>
      </c>
      <c r="AD9" s="472"/>
      <c r="AE9" s="471">
        <f>8.33/100</f>
        <v>8.3299999999999999E-2</v>
      </c>
      <c r="AF9" s="472"/>
      <c r="AG9" s="471">
        <f>8.33/100</f>
        <v>8.3299999999999999E-2</v>
      </c>
      <c r="AH9" s="472"/>
      <c r="AI9" s="473">
        <f>SUM(AC9,AE9,AG9)</f>
        <v>0.24990000000000001</v>
      </c>
      <c r="AJ9" s="474">
        <f t="shared" ref="AJ9" si="11">SUM(AD9,AF9,AH9)</f>
        <v>0</v>
      </c>
      <c r="AK9" s="471">
        <f>8.33/100</f>
        <v>8.3299999999999999E-2</v>
      </c>
      <c r="AL9" s="472"/>
      <c r="AM9" s="471">
        <f>8.33/100</f>
        <v>8.3299999999999999E-2</v>
      </c>
      <c r="AN9" s="472"/>
      <c r="AO9" s="471">
        <f>8.33/100</f>
        <v>8.3299999999999999E-2</v>
      </c>
      <c r="AP9" s="472"/>
      <c r="AQ9" s="473">
        <f>SUM(AK9,AM9,AO9)</f>
        <v>0.24990000000000001</v>
      </c>
      <c r="AR9" s="474">
        <f t="shared" ref="AR9" si="12">SUM(AL9,AN9,AP9)</f>
        <v>0</v>
      </c>
      <c r="AS9" s="471">
        <f>8.33/100</f>
        <v>8.3299999999999999E-2</v>
      </c>
      <c r="AT9" s="472"/>
      <c r="AU9" s="471">
        <f>8.33/100</f>
        <v>8.3299999999999999E-2</v>
      </c>
      <c r="AV9" s="472"/>
      <c r="AW9" s="471">
        <f>8.33/100</f>
        <v>8.3299999999999999E-2</v>
      </c>
      <c r="AX9" s="472"/>
      <c r="AY9" s="473">
        <f>SUM(AS9,AU9,AW9)</f>
        <v>0.24990000000000001</v>
      </c>
      <c r="AZ9" s="474">
        <f t="shared" ref="AZ9" si="13">SUM(AT9,AV9,AX9)</f>
        <v>0</v>
      </c>
      <c r="BA9" s="396">
        <v>2</v>
      </c>
      <c r="BB9" s="396"/>
      <c r="BC9" s="396">
        <v>2</v>
      </c>
      <c r="BD9" s="396"/>
      <c r="BE9" s="396">
        <v>2</v>
      </c>
      <c r="BF9" s="396"/>
      <c r="BG9" s="475">
        <f t="shared" si="1"/>
        <v>0.99960000000000004</v>
      </c>
      <c r="BH9" s="475">
        <f t="shared" si="1"/>
        <v>0.24990000000000001</v>
      </c>
      <c r="BI9" s="398">
        <f>IFERROR(AB9/AA9,"")</f>
        <v>1</v>
      </c>
      <c r="BJ9" s="398">
        <f>IFERROR((AB9+AJ9)/(AA9+AI9),"")</f>
        <v>0.5</v>
      </c>
      <c r="BK9" s="398">
        <f t="shared" ref="BK9" si="14">IFERROR((AB9+AJ9+AR9)/(AA9+AI9+AQ9),"")</f>
        <v>0.33333333333333331</v>
      </c>
      <c r="BL9" s="398">
        <f t="shared" ref="BL9" si="15">IFERROR((AB9+AJ9+AR9+AZ9)/(AA9+AI9+AQ9+AY9),"")</f>
        <v>0.25</v>
      </c>
      <c r="BM9" s="399">
        <f t="shared" ref="BM9" si="16">IFERROR(BH9/BG9,"")</f>
        <v>0.25</v>
      </c>
      <c r="BN9" s="476" t="s">
        <v>433</v>
      </c>
      <c r="BO9" s="630"/>
    </row>
    <row r="10" spans="1:68" s="441" customFormat="1" ht="90" customHeight="1" x14ac:dyDescent="0.25">
      <c r="A10" s="645"/>
      <c r="B10" s="646"/>
      <c r="C10" s="408" t="s">
        <v>343</v>
      </c>
      <c r="D10" s="401">
        <v>1</v>
      </c>
      <c r="E10" s="408" t="s">
        <v>345</v>
      </c>
      <c r="F10" s="409" t="s">
        <v>54</v>
      </c>
      <c r="G10" s="409" t="s">
        <v>55</v>
      </c>
      <c r="H10" s="389" t="s">
        <v>337</v>
      </c>
      <c r="I10" s="389" t="s">
        <v>338</v>
      </c>
      <c r="J10" s="389" t="s">
        <v>348</v>
      </c>
      <c r="K10" s="400">
        <v>100</v>
      </c>
      <c r="L10" s="400">
        <v>100</v>
      </c>
      <c r="M10" s="410">
        <v>100</v>
      </c>
      <c r="N10" s="410">
        <v>100</v>
      </c>
      <c r="O10" s="647" t="s">
        <v>438</v>
      </c>
      <c r="P10" s="647"/>
      <c r="Q10" s="410"/>
      <c r="R10" s="410"/>
      <c r="S10" s="410"/>
      <c r="T10" s="410"/>
      <c r="U10" s="410"/>
      <c r="V10" s="410"/>
      <c r="W10" s="410"/>
      <c r="X10" s="410"/>
      <c r="Y10" s="410"/>
      <c r="Z10" s="410"/>
      <c r="AA10" s="382"/>
      <c r="AB10" s="382"/>
      <c r="AC10" s="410"/>
      <c r="AD10" s="410"/>
      <c r="AE10" s="410"/>
      <c r="AF10" s="410"/>
      <c r="AG10" s="410"/>
      <c r="AH10" s="410"/>
      <c r="AI10" s="382"/>
      <c r="AJ10" s="382"/>
      <c r="AK10" s="410"/>
      <c r="AL10" s="410"/>
      <c r="AM10" s="410"/>
      <c r="AN10" s="410"/>
      <c r="AO10" s="410"/>
      <c r="AP10" s="410"/>
      <c r="AQ10" s="382"/>
      <c r="AR10" s="382"/>
      <c r="AS10" s="410"/>
      <c r="AT10" s="410"/>
      <c r="AU10" s="410"/>
      <c r="AV10" s="410"/>
      <c r="AW10" s="410"/>
      <c r="AX10" s="410"/>
      <c r="AY10" s="382"/>
      <c r="AZ10" s="382"/>
      <c r="BA10" s="400"/>
      <c r="BB10" s="400"/>
      <c r="BC10" s="400"/>
      <c r="BD10" s="400"/>
      <c r="BE10" s="400"/>
      <c r="BF10" s="400"/>
      <c r="BG10" s="384"/>
      <c r="BH10" s="384"/>
      <c r="BI10" s="398" t="str">
        <f t="shared" ref="BI10:BI23" si="17">IFERROR(AB10/AA10,"")</f>
        <v/>
      </c>
      <c r="BJ10" s="398" t="str">
        <f t="shared" ref="BJ10:BJ23" si="18">IFERROR((AB10+AJ10)/(AA10+AI10),"")</f>
        <v/>
      </c>
      <c r="BK10" s="398" t="str">
        <f t="shared" si="2"/>
        <v/>
      </c>
      <c r="BL10" s="398" t="str">
        <f t="shared" si="3"/>
        <v/>
      </c>
      <c r="BM10" s="399" t="str">
        <f t="shared" si="4"/>
        <v/>
      </c>
      <c r="BN10" s="389" t="s">
        <v>416</v>
      </c>
      <c r="BO10" s="630"/>
    </row>
    <row r="11" spans="1:68" s="441" customFormat="1" ht="49.5" customHeight="1" x14ac:dyDescent="0.25">
      <c r="A11" s="645"/>
      <c r="B11" s="646"/>
      <c r="C11" s="646" t="s">
        <v>66</v>
      </c>
      <c r="D11" s="401">
        <v>0.3</v>
      </c>
      <c r="E11" s="408" t="s">
        <v>346</v>
      </c>
      <c r="F11" s="409" t="s">
        <v>56</v>
      </c>
      <c r="G11" s="409" t="s">
        <v>347</v>
      </c>
      <c r="H11" s="389" t="s">
        <v>337</v>
      </c>
      <c r="I11" s="389" t="s">
        <v>338</v>
      </c>
      <c r="J11" s="389" t="s">
        <v>349</v>
      </c>
      <c r="K11" s="400">
        <v>0</v>
      </c>
      <c r="L11" s="400">
        <v>0</v>
      </c>
      <c r="M11" s="391">
        <v>1</v>
      </c>
      <c r="N11" s="391">
        <v>0.9</v>
      </c>
      <c r="O11" s="391" t="s">
        <v>394</v>
      </c>
      <c r="P11" s="410"/>
      <c r="Q11" s="410"/>
      <c r="R11" s="410"/>
      <c r="S11" s="410"/>
      <c r="T11" s="410"/>
      <c r="U11" s="406">
        <v>0.02</v>
      </c>
      <c r="V11" s="406">
        <v>0.02</v>
      </c>
      <c r="W11" s="406">
        <v>0.03</v>
      </c>
      <c r="X11" s="406">
        <v>0.03</v>
      </c>
      <c r="Y11" s="406">
        <v>0.03</v>
      </c>
      <c r="Z11" s="406">
        <v>0.03</v>
      </c>
      <c r="AA11" s="407">
        <f>SUM(U11,W11,Y11)</f>
        <v>0.08</v>
      </c>
      <c r="AB11" s="407">
        <f t="shared" ref="AB11:AB12" si="19">SUM(V11,X11,Z11)</f>
        <v>0.08</v>
      </c>
      <c r="AC11" s="406">
        <v>0.01</v>
      </c>
      <c r="AD11" s="410"/>
      <c r="AE11" s="406">
        <v>0.01</v>
      </c>
      <c r="AF11" s="410"/>
      <c r="AG11" s="406">
        <v>0</v>
      </c>
      <c r="AH11" s="410"/>
      <c r="AI11" s="407">
        <f>SUM(AC11,AE11,AG11)</f>
        <v>0.02</v>
      </c>
      <c r="AJ11" s="458">
        <f t="shared" ref="AJ11" si="20">SUM(AD11,AF11,AH11)</f>
        <v>0</v>
      </c>
      <c r="AK11" s="406">
        <v>0</v>
      </c>
      <c r="AL11" s="410"/>
      <c r="AM11" s="406">
        <v>0</v>
      </c>
      <c r="AN11" s="410"/>
      <c r="AO11" s="406">
        <v>0</v>
      </c>
      <c r="AP11" s="410"/>
      <c r="AQ11" s="407">
        <v>0</v>
      </c>
      <c r="AR11" s="382"/>
      <c r="AS11" s="406">
        <v>0</v>
      </c>
      <c r="AT11" s="410"/>
      <c r="AU11" s="406">
        <v>0</v>
      </c>
      <c r="AV11" s="410"/>
      <c r="AW11" s="406">
        <v>0</v>
      </c>
      <c r="AX11" s="410"/>
      <c r="AY11" s="458"/>
      <c r="AZ11" s="382"/>
      <c r="BA11" s="400"/>
      <c r="BB11" s="400"/>
      <c r="BC11" s="400"/>
      <c r="BD11" s="400"/>
      <c r="BE11" s="400"/>
      <c r="BF11" s="400"/>
      <c r="BG11" s="411">
        <f>AA11+AI11</f>
        <v>0.1</v>
      </c>
      <c r="BH11" s="411">
        <f>AB11+AJ11</f>
        <v>0.08</v>
      </c>
      <c r="BI11" s="398">
        <f t="shared" si="17"/>
        <v>1</v>
      </c>
      <c r="BJ11" s="398">
        <f t="shared" si="18"/>
        <v>0.79999999999999993</v>
      </c>
      <c r="BK11" s="398">
        <f t="shared" si="2"/>
        <v>0.79999999999999993</v>
      </c>
      <c r="BL11" s="398">
        <f t="shared" si="3"/>
        <v>0.79999999999999993</v>
      </c>
      <c r="BM11" s="399">
        <f>IFERROR(BH11/BG11,"")</f>
        <v>0.79999999999999993</v>
      </c>
      <c r="BN11" s="476" t="s">
        <v>435</v>
      </c>
      <c r="BO11" s="630"/>
    </row>
    <row r="12" spans="1:68" s="441" customFormat="1" ht="92.25" customHeight="1" x14ac:dyDescent="0.25">
      <c r="A12" s="645"/>
      <c r="B12" s="646"/>
      <c r="C12" s="646"/>
      <c r="D12" s="401">
        <v>0.35</v>
      </c>
      <c r="E12" s="408" t="s">
        <v>350</v>
      </c>
      <c r="F12" s="409" t="s">
        <v>57</v>
      </c>
      <c r="G12" s="409" t="s">
        <v>58</v>
      </c>
      <c r="H12" s="389" t="s">
        <v>337</v>
      </c>
      <c r="I12" s="389" t="s">
        <v>338</v>
      </c>
      <c r="J12" s="389" t="s">
        <v>348</v>
      </c>
      <c r="K12" s="400">
        <v>0</v>
      </c>
      <c r="L12" s="400">
        <v>0</v>
      </c>
      <c r="M12" s="391">
        <v>1</v>
      </c>
      <c r="N12" s="391">
        <v>0.95</v>
      </c>
      <c r="O12" s="391" t="s">
        <v>395</v>
      </c>
      <c r="P12" s="410"/>
      <c r="Q12" s="410"/>
      <c r="R12" s="410"/>
      <c r="S12" s="410"/>
      <c r="T12" s="410"/>
      <c r="U12" s="412">
        <v>1</v>
      </c>
      <c r="V12" s="412">
        <v>1</v>
      </c>
      <c r="W12" s="410"/>
      <c r="X12" s="410"/>
      <c r="Y12" s="410"/>
      <c r="Z12" s="410"/>
      <c r="AA12" s="407">
        <f>SUM(U12,W12,Y12)</f>
        <v>1</v>
      </c>
      <c r="AB12" s="407">
        <f t="shared" si="19"/>
        <v>1</v>
      </c>
      <c r="AC12" s="406">
        <v>0</v>
      </c>
      <c r="AD12" s="410"/>
      <c r="AE12" s="406">
        <v>0</v>
      </c>
      <c r="AF12" s="410"/>
      <c r="AG12" s="406">
        <v>0</v>
      </c>
      <c r="AH12" s="410"/>
      <c r="AI12" s="407">
        <v>0</v>
      </c>
      <c r="AJ12" s="382"/>
      <c r="AK12" s="406">
        <v>0</v>
      </c>
      <c r="AL12" s="410"/>
      <c r="AM12" s="406">
        <v>0</v>
      </c>
      <c r="AN12" s="410"/>
      <c r="AO12" s="406">
        <v>0</v>
      </c>
      <c r="AP12" s="410"/>
      <c r="AQ12" s="407">
        <v>0</v>
      </c>
      <c r="AR12" s="382"/>
      <c r="AS12" s="406">
        <v>0</v>
      </c>
      <c r="AT12" s="410"/>
      <c r="AU12" s="406">
        <v>0</v>
      </c>
      <c r="AV12" s="410"/>
      <c r="AW12" s="406">
        <v>0</v>
      </c>
      <c r="AX12" s="410"/>
      <c r="AY12" s="407">
        <v>0</v>
      </c>
      <c r="AZ12" s="382"/>
      <c r="BA12" s="400"/>
      <c r="BB12" s="400"/>
      <c r="BC12" s="400"/>
      <c r="BD12" s="400"/>
      <c r="BE12" s="400"/>
      <c r="BF12" s="400"/>
      <c r="BG12" s="411">
        <f>AA12</f>
        <v>1</v>
      </c>
      <c r="BH12" s="411">
        <f>AB12</f>
        <v>1</v>
      </c>
      <c r="BI12" s="398">
        <f t="shared" si="17"/>
        <v>1</v>
      </c>
      <c r="BJ12" s="398">
        <f t="shared" si="18"/>
        <v>1</v>
      </c>
      <c r="BK12" s="398">
        <f t="shared" si="2"/>
        <v>1</v>
      </c>
      <c r="BL12" s="398">
        <f t="shared" si="3"/>
        <v>1</v>
      </c>
      <c r="BM12" s="399">
        <f t="shared" si="4"/>
        <v>1</v>
      </c>
      <c r="BN12" s="476" t="s">
        <v>434</v>
      </c>
      <c r="BO12" s="630"/>
    </row>
    <row r="13" spans="1:68" s="441" customFormat="1" ht="56.25" customHeight="1" x14ac:dyDescent="0.25">
      <c r="A13" s="645"/>
      <c r="B13" s="646"/>
      <c r="C13" s="646"/>
      <c r="D13" s="401">
        <v>0.35</v>
      </c>
      <c r="E13" s="408" t="s">
        <v>351</v>
      </c>
      <c r="F13" s="409" t="s">
        <v>59</v>
      </c>
      <c r="G13" s="409" t="s">
        <v>60</v>
      </c>
      <c r="H13" s="389" t="s">
        <v>337</v>
      </c>
      <c r="I13" s="389" t="s">
        <v>338</v>
      </c>
      <c r="J13" s="389" t="s">
        <v>348</v>
      </c>
      <c r="K13" s="400">
        <v>0</v>
      </c>
      <c r="L13" s="400">
        <v>0</v>
      </c>
      <c r="M13" s="391">
        <v>1</v>
      </c>
      <c r="N13" s="391">
        <v>1</v>
      </c>
      <c r="O13" s="647" t="s">
        <v>437</v>
      </c>
      <c r="P13" s="647"/>
      <c r="Q13" s="410"/>
      <c r="R13" s="410"/>
      <c r="S13" s="410"/>
      <c r="T13" s="410"/>
      <c r="U13" s="410"/>
      <c r="V13" s="410"/>
      <c r="W13" s="410"/>
      <c r="X13" s="410"/>
      <c r="Y13" s="410"/>
      <c r="Z13" s="410"/>
      <c r="AA13" s="382"/>
      <c r="AB13" s="382"/>
      <c r="AC13" s="410"/>
      <c r="AD13" s="410"/>
      <c r="AE13" s="410"/>
      <c r="AF13" s="410"/>
      <c r="AG13" s="410"/>
      <c r="AH13" s="410"/>
      <c r="AI13" s="382"/>
      <c r="AJ13" s="382"/>
      <c r="AK13" s="410"/>
      <c r="AL13" s="410"/>
      <c r="AM13" s="410"/>
      <c r="AN13" s="410"/>
      <c r="AO13" s="410"/>
      <c r="AP13" s="410"/>
      <c r="AQ13" s="382"/>
      <c r="AR13" s="382"/>
      <c r="AS13" s="410"/>
      <c r="AT13" s="410"/>
      <c r="AU13" s="410"/>
      <c r="AV13" s="410"/>
      <c r="AW13" s="410"/>
      <c r="AX13" s="410"/>
      <c r="AY13" s="382"/>
      <c r="AZ13" s="382"/>
      <c r="BA13" s="400"/>
      <c r="BB13" s="400"/>
      <c r="BC13" s="400"/>
      <c r="BD13" s="400"/>
      <c r="BE13" s="400"/>
      <c r="BF13" s="400"/>
      <c r="BG13" s="384"/>
      <c r="BH13" s="384"/>
      <c r="BI13" s="398" t="str">
        <f t="shared" si="17"/>
        <v/>
      </c>
      <c r="BJ13" s="398" t="str">
        <f t="shared" si="18"/>
        <v/>
      </c>
      <c r="BK13" s="398" t="str">
        <f t="shared" si="2"/>
        <v/>
      </c>
      <c r="BL13" s="398" t="str">
        <f t="shared" si="3"/>
        <v/>
      </c>
      <c r="BM13" s="399" t="str">
        <f t="shared" si="4"/>
        <v/>
      </c>
      <c r="BN13" s="389" t="s">
        <v>418</v>
      </c>
      <c r="BO13" s="631"/>
    </row>
    <row r="14" spans="1:68" s="435" customFormat="1" ht="76.5" x14ac:dyDescent="0.25">
      <c r="A14" s="646" t="s">
        <v>47</v>
      </c>
      <c r="B14" s="646" t="s">
        <v>21</v>
      </c>
      <c r="C14" s="408" t="s">
        <v>406</v>
      </c>
      <c r="D14" s="387">
        <v>1</v>
      </c>
      <c r="E14" s="408" t="s">
        <v>407</v>
      </c>
      <c r="F14" s="414" t="s">
        <v>62</v>
      </c>
      <c r="G14" s="414" t="s">
        <v>63</v>
      </c>
      <c r="H14" s="389" t="s">
        <v>362</v>
      </c>
      <c r="I14" s="414" t="s">
        <v>363</v>
      </c>
      <c r="J14" s="414" t="s">
        <v>364</v>
      </c>
      <c r="K14" s="390">
        <v>0</v>
      </c>
      <c r="L14" s="390">
        <v>0</v>
      </c>
      <c r="M14" s="415" t="s">
        <v>361</v>
      </c>
      <c r="N14" s="415" t="s">
        <v>361</v>
      </c>
      <c r="O14" s="415">
        <v>1</v>
      </c>
      <c r="P14" s="416">
        <v>0</v>
      </c>
      <c r="Q14" s="416"/>
      <c r="R14" s="416"/>
      <c r="S14" s="416"/>
      <c r="T14" s="416"/>
      <c r="U14" s="390">
        <v>0</v>
      </c>
      <c r="V14" s="390">
        <v>0</v>
      </c>
      <c r="W14" s="390">
        <v>0</v>
      </c>
      <c r="X14" s="390">
        <v>0</v>
      </c>
      <c r="Y14" s="390">
        <v>1</v>
      </c>
      <c r="Z14" s="390">
        <v>1</v>
      </c>
      <c r="AA14" s="417">
        <f t="shared" ref="AA14:AB23" si="21">SUM(U14,W14,Y14)</f>
        <v>1</v>
      </c>
      <c r="AB14" s="417">
        <f t="shared" ref="AB14:AB22" si="22">SUM(V14,X14,Z14)</f>
        <v>1</v>
      </c>
      <c r="AC14" s="390">
        <v>0</v>
      </c>
      <c r="AD14" s="390">
        <v>0</v>
      </c>
      <c r="AE14" s="390">
        <v>0</v>
      </c>
      <c r="AF14" s="390">
        <v>0</v>
      </c>
      <c r="AG14" s="390">
        <v>1</v>
      </c>
      <c r="AH14" s="390"/>
      <c r="AI14" s="417">
        <f t="shared" ref="AI14:AJ23" si="23">SUM(AC14,AE14,AG14)</f>
        <v>1</v>
      </c>
      <c r="AJ14" s="417">
        <f t="shared" si="23"/>
        <v>0</v>
      </c>
      <c r="AK14" s="390">
        <v>0</v>
      </c>
      <c r="AL14" s="390"/>
      <c r="AM14" s="390">
        <v>1</v>
      </c>
      <c r="AN14" s="390"/>
      <c r="AO14" s="390">
        <v>0</v>
      </c>
      <c r="AP14" s="390"/>
      <c r="AQ14" s="417">
        <f t="shared" ref="AQ14:AR23" si="24">SUM(AK14,AM14,AO14)</f>
        <v>1</v>
      </c>
      <c r="AR14" s="417">
        <f t="shared" si="24"/>
        <v>0</v>
      </c>
      <c r="AS14" s="390">
        <v>1</v>
      </c>
      <c r="AT14" s="390"/>
      <c r="AU14" s="390">
        <v>0</v>
      </c>
      <c r="AV14" s="390"/>
      <c r="AW14" s="390">
        <v>1</v>
      </c>
      <c r="AX14" s="390"/>
      <c r="AY14" s="417">
        <f t="shared" ref="AY14:AZ23" si="25">SUM(AS14,AU14,AW14)</f>
        <v>2</v>
      </c>
      <c r="AZ14" s="417">
        <f t="shared" si="25"/>
        <v>0</v>
      </c>
      <c r="BA14" s="418">
        <v>4</v>
      </c>
      <c r="BB14" s="418"/>
      <c r="BC14" s="418">
        <v>4</v>
      </c>
      <c r="BD14" s="418"/>
      <c r="BE14" s="418">
        <v>4</v>
      </c>
      <c r="BF14" s="418"/>
      <c r="BG14" s="419">
        <f>SUM(AA14,AI14,AQ14,AY14)</f>
        <v>5</v>
      </c>
      <c r="BH14" s="419">
        <f t="shared" ref="BH14:BH23" si="26">SUM(AB14,AJ14,AR14,AZ14)</f>
        <v>1</v>
      </c>
      <c r="BI14" s="398">
        <f t="shared" si="17"/>
        <v>1</v>
      </c>
      <c r="BJ14" s="398">
        <f t="shared" si="18"/>
        <v>0.5</v>
      </c>
      <c r="BK14" s="398">
        <f t="shared" si="2"/>
        <v>0.33333333333333331</v>
      </c>
      <c r="BL14" s="398">
        <f t="shared" si="3"/>
        <v>0.2</v>
      </c>
      <c r="BM14" s="399">
        <f t="shared" si="4"/>
        <v>0.2</v>
      </c>
      <c r="BN14" s="389" t="s">
        <v>436</v>
      </c>
      <c r="BO14" s="649">
        <f>AVERAGE(BI14)</f>
        <v>1</v>
      </c>
    </row>
    <row r="15" spans="1:68" s="435" customFormat="1" ht="63.75" x14ac:dyDescent="0.25">
      <c r="A15" s="646"/>
      <c r="B15" s="646"/>
      <c r="C15" s="408" t="s">
        <v>67</v>
      </c>
      <c r="D15" s="387">
        <v>1</v>
      </c>
      <c r="E15" s="408" t="s">
        <v>408</v>
      </c>
      <c r="F15" s="420" t="s">
        <v>109</v>
      </c>
      <c r="G15" s="420" t="s">
        <v>64</v>
      </c>
      <c r="H15" s="389" t="s">
        <v>362</v>
      </c>
      <c r="I15" s="414" t="s">
        <v>363</v>
      </c>
      <c r="J15" s="414" t="s">
        <v>364</v>
      </c>
      <c r="K15" s="390">
        <v>0</v>
      </c>
      <c r="L15" s="390">
        <v>0</v>
      </c>
      <c r="M15" s="415" t="s">
        <v>372</v>
      </c>
      <c r="N15" s="415" t="s">
        <v>365</v>
      </c>
      <c r="O15" s="415">
        <v>1</v>
      </c>
      <c r="P15" s="416">
        <v>0</v>
      </c>
      <c r="Q15" s="415">
        <v>1</v>
      </c>
      <c r="R15" s="416"/>
      <c r="S15" s="416"/>
      <c r="T15" s="416"/>
      <c r="U15" s="393">
        <v>0</v>
      </c>
      <c r="V15" s="393"/>
      <c r="W15" s="393">
        <v>0</v>
      </c>
      <c r="X15" s="393"/>
      <c r="Y15" s="393">
        <v>0</v>
      </c>
      <c r="Z15" s="393"/>
      <c r="AA15" s="394">
        <f t="shared" ref="AA15" si="27">AVERAGE(U15,W15,Y15)</f>
        <v>0</v>
      </c>
      <c r="AB15" s="394" t="str">
        <f t="shared" ref="AB15" si="28">IFERROR(AVERAGE(V15,X15,Z15),"")</f>
        <v/>
      </c>
      <c r="AC15" s="393">
        <v>0</v>
      </c>
      <c r="AD15" s="395"/>
      <c r="AE15" s="393">
        <v>0</v>
      </c>
      <c r="AF15" s="395"/>
      <c r="AG15" s="393">
        <v>0</v>
      </c>
      <c r="AH15" s="395"/>
      <c r="AI15" s="394">
        <f t="shared" ref="AI15" si="29">AVERAGE(AC15,AE15,AG15)</f>
        <v>0</v>
      </c>
      <c r="AJ15" s="394" t="str">
        <f t="shared" ref="AJ15" si="30">IFERROR(AVERAGE(AD15,AF15,AH15),"")</f>
        <v/>
      </c>
      <c r="AK15" s="393">
        <v>0</v>
      </c>
      <c r="AL15" s="395"/>
      <c r="AM15" s="393">
        <v>0</v>
      </c>
      <c r="AN15" s="395"/>
      <c r="AO15" s="393">
        <f t="shared" ref="AO15" si="31">100/100</f>
        <v>1</v>
      </c>
      <c r="AP15" s="395"/>
      <c r="AQ15" s="394">
        <f>AO15</f>
        <v>1</v>
      </c>
      <c r="AR15" s="394" t="str">
        <f t="shared" ref="AR15" si="32">IFERROR(AVERAGE(AL15,AN15,AP15),"")</f>
        <v/>
      </c>
      <c r="AS15" s="393">
        <v>0</v>
      </c>
      <c r="AT15" s="395"/>
      <c r="AU15" s="393">
        <v>0</v>
      </c>
      <c r="AV15" s="395"/>
      <c r="AW15" s="393">
        <v>0</v>
      </c>
      <c r="AX15" s="395"/>
      <c r="AY15" s="394">
        <f t="shared" ref="AY15" si="33">AVERAGE(AS15,AU15,AW15)</f>
        <v>0</v>
      </c>
      <c r="AZ15" s="394" t="str">
        <f>IFERROR(AVERAGE(AT15,AV15,AX15),"")</f>
        <v/>
      </c>
      <c r="BA15" s="396">
        <v>2</v>
      </c>
      <c r="BB15" s="396"/>
      <c r="BC15" s="396">
        <v>2</v>
      </c>
      <c r="BD15" s="396"/>
      <c r="BE15" s="396">
        <v>2</v>
      </c>
      <c r="BF15" s="396"/>
      <c r="BG15" s="397">
        <f>AQ15</f>
        <v>1</v>
      </c>
      <c r="BH15" s="397" t="str">
        <f>IFERROR(AVERAGE(AB15,AJ15,AR15,AZ15),"")</f>
        <v/>
      </c>
      <c r="BI15" s="398" t="s">
        <v>413</v>
      </c>
      <c r="BJ15" s="398" t="s">
        <v>413</v>
      </c>
      <c r="BK15" s="398" t="str">
        <f t="shared" si="2"/>
        <v/>
      </c>
      <c r="BL15" s="398" t="s">
        <v>413</v>
      </c>
      <c r="BM15" s="399" t="str">
        <f t="shared" si="4"/>
        <v/>
      </c>
      <c r="BN15" s="389" t="s">
        <v>440</v>
      </c>
      <c r="BO15" s="648"/>
    </row>
    <row r="16" spans="1:68" s="435" customFormat="1" ht="216.75" x14ac:dyDescent="0.25">
      <c r="A16" s="646" t="s">
        <v>48</v>
      </c>
      <c r="B16" s="646" t="s">
        <v>24</v>
      </c>
      <c r="C16" s="408" t="s">
        <v>86</v>
      </c>
      <c r="D16" s="387">
        <v>0.3</v>
      </c>
      <c r="E16" s="389" t="s">
        <v>366</v>
      </c>
      <c r="F16" s="420" t="s">
        <v>87</v>
      </c>
      <c r="G16" s="420" t="s">
        <v>88</v>
      </c>
      <c r="H16" s="422" t="s">
        <v>337</v>
      </c>
      <c r="I16" s="442" t="s">
        <v>368</v>
      </c>
      <c r="J16" s="442" t="s">
        <v>369</v>
      </c>
      <c r="K16" s="423">
        <v>0</v>
      </c>
      <c r="L16" s="423">
        <v>0</v>
      </c>
      <c r="M16" s="424">
        <v>1</v>
      </c>
      <c r="N16" s="424">
        <v>1</v>
      </c>
      <c r="O16" s="424">
        <v>1</v>
      </c>
      <c r="P16" s="423">
        <v>0</v>
      </c>
      <c r="Q16" s="424">
        <v>1</v>
      </c>
      <c r="R16" s="423"/>
      <c r="S16" s="424">
        <v>1</v>
      </c>
      <c r="T16" s="423"/>
      <c r="U16" s="471">
        <f t="shared" ref="U16:Z17" si="34">8.33/100</f>
        <v>8.3299999999999999E-2</v>
      </c>
      <c r="V16" s="471">
        <f t="shared" si="34"/>
        <v>8.3299999999999999E-2</v>
      </c>
      <c r="W16" s="471">
        <f t="shared" si="34"/>
        <v>8.3299999999999999E-2</v>
      </c>
      <c r="X16" s="471">
        <f t="shared" si="34"/>
        <v>8.3299999999999999E-2</v>
      </c>
      <c r="Y16" s="471">
        <f t="shared" si="34"/>
        <v>8.3299999999999999E-2</v>
      </c>
      <c r="Z16" s="471">
        <f t="shared" si="34"/>
        <v>8.3299999999999999E-2</v>
      </c>
      <c r="AA16" s="501">
        <f>SUM(U16,W16,Y16)</f>
        <v>0.24990000000000001</v>
      </c>
      <c r="AB16" s="501">
        <f>V16+X16+Z16</f>
        <v>0.24990000000000001</v>
      </c>
      <c r="AC16" s="471">
        <f>8.33/100</f>
        <v>8.3299999999999999E-2</v>
      </c>
      <c r="AD16" s="471"/>
      <c r="AE16" s="471">
        <f>8.33/100</f>
        <v>8.3299999999999999E-2</v>
      </c>
      <c r="AF16" s="471"/>
      <c r="AG16" s="471">
        <f>8.33/100</f>
        <v>8.3299999999999999E-2</v>
      </c>
      <c r="AH16" s="471"/>
      <c r="AI16" s="501">
        <f>SUM(AC16,AE16,AG16)</f>
        <v>0.24990000000000001</v>
      </c>
      <c r="AJ16" s="501">
        <f>AD16+AF16+AH16</f>
        <v>0</v>
      </c>
      <c r="AK16" s="471">
        <f>8.33/100</f>
        <v>8.3299999999999999E-2</v>
      </c>
      <c r="AL16" s="471"/>
      <c r="AM16" s="471">
        <f>8.33/100</f>
        <v>8.3299999999999999E-2</v>
      </c>
      <c r="AN16" s="471"/>
      <c r="AO16" s="471">
        <f>8.33/100</f>
        <v>8.3299999999999999E-2</v>
      </c>
      <c r="AP16" s="471"/>
      <c r="AQ16" s="501">
        <f>SUM(AK16,AM16,AO16)</f>
        <v>0.24990000000000001</v>
      </c>
      <c r="AR16" s="501">
        <f>AL16+AN16+AP16</f>
        <v>0</v>
      </c>
      <c r="AS16" s="471">
        <f>8.33/100</f>
        <v>8.3299999999999999E-2</v>
      </c>
      <c r="AT16" s="471"/>
      <c r="AU16" s="471">
        <f>8.33/100</f>
        <v>8.3299999999999999E-2</v>
      </c>
      <c r="AV16" s="471"/>
      <c r="AW16" s="471">
        <f>8.33/100</f>
        <v>8.3299999999999999E-2</v>
      </c>
      <c r="AX16" s="471"/>
      <c r="AY16" s="501">
        <f>SUM(AS16,AU16,AW16)</f>
        <v>0.24990000000000001</v>
      </c>
      <c r="AZ16" s="501">
        <f>AT16+AV16+AX16</f>
        <v>0</v>
      </c>
      <c r="BA16" s="501">
        <v>2</v>
      </c>
      <c r="BB16" s="501"/>
      <c r="BC16" s="501">
        <v>2</v>
      </c>
      <c r="BD16" s="501"/>
      <c r="BE16" s="501">
        <v>2</v>
      </c>
      <c r="BF16" s="501"/>
      <c r="BG16" s="501">
        <f t="shared" ref="BG16" si="35">AA16+AI16+AQ16+AY16</f>
        <v>0.99960000000000004</v>
      </c>
      <c r="BH16" s="501">
        <f t="shared" ref="BH16" si="36">AB16+AJ16+AR16+AZ16</f>
        <v>0.24990000000000001</v>
      </c>
      <c r="BI16" s="398">
        <f>IFERROR(AB16/AA16,"")</f>
        <v>1</v>
      </c>
      <c r="BJ16" s="398">
        <f>IFERROR((AB16+AJ16)/(AA16+AI16),"")</f>
        <v>0.5</v>
      </c>
      <c r="BK16" s="398">
        <f t="shared" ref="BK16" si="37">IFERROR((AB16+AJ16+AR16)/(AA16+AI16+AQ16),"")</f>
        <v>0.33333333333333331</v>
      </c>
      <c r="BL16" s="398">
        <f t="shared" ref="BL16" si="38">IFERROR((AB16+AJ16+AR16+AZ16)/(AA16+AI16+AQ16+AY16),"")</f>
        <v>0.25</v>
      </c>
      <c r="BM16" s="399">
        <f t="shared" ref="BM16" si="39">IFERROR(BH16/BG16,"")</f>
        <v>0.25</v>
      </c>
      <c r="BN16" s="476" t="s">
        <v>443</v>
      </c>
      <c r="BO16" s="649">
        <f>AVERAGE(BI16:BI17)</f>
        <v>1</v>
      </c>
    </row>
    <row r="17" spans="1:67" s="435" customFormat="1" ht="216.75" x14ac:dyDescent="0.25">
      <c r="A17" s="646"/>
      <c r="B17" s="646"/>
      <c r="C17" s="408" t="s">
        <v>25</v>
      </c>
      <c r="D17" s="387">
        <v>0.7</v>
      </c>
      <c r="E17" s="389" t="s">
        <v>367</v>
      </c>
      <c r="F17" s="422" t="s">
        <v>370</v>
      </c>
      <c r="G17" s="422" t="s">
        <v>371</v>
      </c>
      <c r="H17" s="422" t="s">
        <v>337</v>
      </c>
      <c r="I17" s="442" t="s">
        <v>368</v>
      </c>
      <c r="J17" s="442" t="s">
        <v>369</v>
      </c>
      <c r="K17" s="421">
        <v>0</v>
      </c>
      <c r="L17" s="421">
        <v>0</v>
      </c>
      <c r="M17" s="424">
        <v>1</v>
      </c>
      <c r="N17" s="424">
        <v>1</v>
      </c>
      <c r="O17" s="424">
        <v>1</v>
      </c>
      <c r="P17" s="425">
        <v>0</v>
      </c>
      <c r="Q17" s="424">
        <v>1</v>
      </c>
      <c r="R17" s="425"/>
      <c r="S17" s="424">
        <v>1</v>
      </c>
      <c r="T17" s="425"/>
      <c r="U17" s="471">
        <f t="shared" si="34"/>
        <v>8.3299999999999999E-2</v>
      </c>
      <c r="V17" s="471">
        <f t="shared" si="34"/>
        <v>8.3299999999999999E-2</v>
      </c>
      <c r="W17" s="471">
        <f t="shared" si="34"/>
        <v>8.3299999999999999E-2</v>
      </c>
      <c r="X17" s="471">
        <f t="shared" si="34"/>
        <v>8.3299999999999999E-2</v>
      </c>
      <c r="Y17" s="471">
        <f t="shared" si="34"/>
        <v>8.3299999999999999E-2</v>
      </c>
      <c r="Z17" s="471">
        <f t="shared" si="34"/>
        <v>8.3299999999999999E-2</v>
      </c>
      <c r="AA17" s="501">
        <f>SUM(U17,W17,Y17)</f>
        <v>0.24990000000000001</v>
      </c>
      <c r="AB17" s="501">
        <f>V17+X17+Z17</f>
        <v>0.24990000000000001</v>
      </c>
      <c r="AC17" s="471">
        <f>8.33/100</f>
        <v>8.3299999999999999E-2</v>
      </c>
      <c r="AD17" s="471"/>
      <c r="AE17" s="471">
        <f>8.33/100</f>
        <v>8.3299999999999999E-2</v>
      </c>
      <c r="AF17" s="471"/>
      <c r="AG17" s="471">
        <f>8.33/100</f>
        <v>8.3299999999999999E-2</v>
      </c>
      <c r="AH17" s="471"/>
      <c r="AI17" s="501">
        <f>SUM(AC17,AE17,AG17)</f>
        <v>0.24990000000000001</v>
      </c>
      <c r="AJ17" s="501">
        <f>AD17+AF17+AH17</f>
        <v>0</v>
      </c>
      <c r="AK17" s="471">
        <f>8.33/100</f>
        <v>8.3299999999999999E-2</v>
      </c>
      <c r="AL17" s="471"/>
      <c r="AM17" s="471">
        <f>8.33/100</f>
        <v>8.3299999999999999E-2</v>
      </c>
      <c r="AN17" s="471"/>
      <c r="AO17" s="471">
        <f>8.33/100</f>
        <v>8.3299999999999999E-2</v>
      </c>
      <c r="AP17" s="471"/>
      <c r="AQ17" s="501">
        <f>SUM(AK17,AM17,AO17)</f>
        <v>0.24990000000000001</v>
      </c>
      <c r="AR17" s="501">
        <f>AL17+AN17+AP17</f>
        <v>0</v>
      </c>
      <c r="AS17" s="471">
        <f>8.33/100</f>
        <v>8.3299999999999999E-2</v>
      </c>
      <c r="AT17" s="471"/>
      <c r="AU17" s="471">
        <f>8.33/100</f>
        <v>8.3299999999999999E-2</v>
      </c>
      <c r="AV17" s="471"/>
      <c r="AW17" s="471">
        <f>8.33/100</f>
        <v>8.3299999999999999E-2</v>
      </c>
      <c r="AX17" s="471"/>
      <c r="AY17" s="501">
        <f>SUM(AS17,AU17,AW17)</f>
        <v>0.24990000000000001</v>
      </c>
      <c r="AZ17" s="501">
        <f>AT17+AV17+AX17</f>
        <v>0</v>
      </c>
      <c r="BA17" s="501">
        <v>2</v>
      </c>
      <c r="BB17" s="501"/>
      <c r="BC17" s="501">
        <v>2</v>
      </c>
      <c r="BD17" s="501"/>
      <c r="BE17" s="501">
        <v>2</v>
      </c>
      <c r="BF17" s="501"/>
      <c r="BG17" s="501">
        <f t="shared" ref="BG17" si="40">AA17+AI17+AQ17+AY17</f>
        <v>0.99960000000000004</v>
      </c>
      <c r="BH17" s="501">
        <f t="shared" ref="BH17" si="41">AB17+AJ17+AR17+AZ17</f>
        <v>0.24990000000000001</v>
      </c>
      <c r="BI17" s="398">
        <f>IFERROR(AB17/AA17,"")</f>
        <v>1</v>
      </c>
      <c r="BJ17" s="398">
        <f>IFERROR((AB17+AJ17)/(AA17+AI17),"")</f>
        <v>0.5</v>
      </c>
      <c r="BK17" s="398">
        <f t="shared" ref="BK17" si="42">IFERROR((AB17+AJ17+AR17)/(AA17+AI17+AQ17),"")</f>
        <v>0.33333333333333331</v>
      </c>
      <c r="BL17" s="398">
        <f t="shared" ref="BL17" si="43">IFERROR((AB17+AJ17+AR17+AZ17)/(AA17+AI17+AQ17+AY17),"")</f>
        <v>0.25</v>
      </c>
      <c r="BM17" s="399">
        <f t="shared" ref="BM17" si="44">IFERROR(BH17/BG17,"")</f>
        <v>0.25</v>
      </c>
      <c r="BN17" s="476" t="s">
        <v>444</v>
      </c>
      <c r="BO17" s="648"/>
    </row>
    <row r="18" spans="1:67" s="435" customFormat="1" ht="40.5" customHeight="1" x14ac:dyDescent="0.25">
      <c r="A18" s="646" t="s">
        <v>93</v>
      </c>
      <c r="B18" s="646" t="s">
        <v>0</v>
      </c>
      <c r="C18" s="408" t="s">
        <v>404</v>
      </c>
      <c r="D18" s="387">
        <v>0.25</v>
      </c>
      <c r="E18" s="389" t="s">
        <v>405</v>
      </c>
      <c r="F18" s="389" t="s">
        <v>97</v>
      </c>
      <c r="G18" s="389" t="s">
        <v>96</v>
      </c>
      <c r="H18" s="422" t="s">
        <v>337</v>
      </c>
      <c r="I18" s="442" t="s">
        <v>373</v>
      </c>
      <c r="J18" s="389" t="s">
        <v>374</v>
      </c>
      <c r="K18" s="390"/>
      <c r="L18" s="390"/>
      <c r="M18" s="426" t="s">
        <v>375</v>
      </c>
      <c r="N18" s="426" t="s">
        <v>376</v>
      </c>
      <c r="O18" s="427">
        <v>1</v>
      </c>
      <c r="P18" s="426"/>
      <c r="Q18" s="424">
        <v>1</v>
      </c>
      <c r="R18" s="426"/>
      <c r="S18" s="424">
        <v>1</v>
      </c>
      <c r="T18" s="426"/>
      <c r="U18" s="471">
        <f>8.33/100</f>
        <v>8.3299999999999999E-2</v>
      </c>
      <c r="V18" s="472">
        <v>0.11990000000000001</v>
      </c>
      <c r="W18" s="471">
        <f>8.33/100</f>
        <v>8.3299999999999999E-2</v>
      </c>
      <c r="X18" s="471">
        <f>8.33/100</f>
        <v>8.3299999999999999E-2</v>
      </c>
      <c r="Y18" s="471">
        <f>8.33/100</f>
        <v>8.3299999999999999E-2</v>
      </c>
      <c r="Z18" s="471">
        <f>8.33/100</f>
        <v>8.3299999999999999E-2</v>
      </c>
      <c r="AA18" s="394">
        <f>SUM(U18,W18,Y18)</f>
        <v>0.24990000000000001</v>
      </c>
      <c r="AB18" s="394">
        <f t="shared" ref="AB18" si="45">SUM(V18,X18,Z18)</f>
        <v>0.28649999999999998</v>
      </c>
      <c r="AC18" s="471">
        <f>8.33/100</f>
        <v>8.3299999999999999E-2</v>
      </c>
      <c r="AD18" s="472"/>
      <c r="AE18" s="471">
        <f>8.33/100</f>
        <v>8.3299999999999999E-2</v>
      </c>
      <c r="AF18" s="472"/>
      <c r="AG18" s="471">
        <f>8.33/100</f>
        <v>8.3299999999999999E-2</v>
      </c>
      <c r="AH18" s="472"/>
      <c r="AI18" s="394">
        <f>SUM(AC18,AE18,AG18)</f>
        <v>0.24990000000000001</v>
      </c>
      <c r="AJ18" s="394">
        <f t="shared" ref="AJ18" si="46">SUM(AD18,AF18,AH18)</f>
        <v>0</v>
      </c>
      <c r="AK18" s="471">
        <f>8.33/100</f>
        <v>8.3299999999999999E-2</v>
      </c>
      <c r="AL18" s="472"/>
      <c r="AM18" s="471">
        <f>8.33/100</f>
        <v>8.3299999999999999E-2</v>
      </c>
      <c r="AN18" s="472"/>
      <c r="AO18" s="471">
        <f>8.33/100</f>
        <v>8.3299999999999999E-2</v>
      </c>
      <c r="AP18" s="472"/>
      <c r="AQ18" s="394">
        <f>SUM(AK18,AM18,AO18)</f>
        <v>0.24990000000000001</v>
      </c>
      <c r="AR18" s="394">
        <f t="shared" ref="AR18" si="47">SUM(AL18,AN18,AP18)</f>
        <v>0</v>
      </c>
      <c r="AS18" s="471">
        <f>8.33/100</f>
        <v>8.3299999999999999E-2</v>
      </c>
      <c r="AT18" s="472"/>
      <c r="AU18" s="471">
        <f>8.33/100</f>
        <v>8.3299999999999999E-2</v>
      </c>
      <c r="AV18" s="472"/>
      <c r="AW18" s="471">
        <f>8.33/100</f>
        <v>8.3299999999999999E-2</v>
      </c>
      <c r="AX18" s="472"/>
      <c r="AY18" s="394">
        <f>SUM(AS18,AU18,AW18)</f>
        <v>0.24990000000000001</v>
      </c>
      <c r="AZ18" s="394">
        <f t="shared" ref="AZ18" si="48">SUM(AT18,AV18,AX18)</f>
        <v>0</v>
      </c>
      <c r="BA18" s="396">
        <v>2</v>
      </c>
      <c r="BB18" s="396"/>
      <c r="BC18" s="396">
        <v>2</v>
      </c>
      <c r="BD18" s="396"/>
      <c r="BE18" s="396">
        <v>2</v>
      </c>
      <c r="BF18" s="396"/>
      <c r="BG18" s="397">
        <f>SUM(AA18,AI18,AQ18,AY18)</f>
        <v>0.99960000000000004</v>
      </c>
      <c r="BH18" s="397">
        <f t="shared" ref="BH18" si="49">SUM(AB18,AJ18,AR18,AZ18)</f>
        <v>0.28649999999999998</v>
      </c>
      <c r="BI18" s="398">
        <f>IFERROR(AB18/AA18,"")</f>
        <v>1.1464585834333731</v>
      </c>
      <c r="BJ18" s="398">
        <f t="shared" ref="BJ18" si="50">IFERROR((AB18+AJ18)/(AA18+AI18),"")</f>
        <v>0.57322929171668657</v>
      </c>
      <c r="BK18" s="398">
        <f t="shared" ref="BK18" si="51">IFERROR((AB18+AJ18+AR18)/(AA18+AI18+AQ18),"")</f>
        <v>0.38215286114445773</v>
      </c>
      <c r="BL18" s="398">
        <f t="shared" ref="BL18" si="52">IFERROR((AB18+AJ18+AR18+AZ18)/(AA18+AI18+AQ18+AY18),"")</f>
        <v>0.28661464585834329</v>
      </c>
      <c r="BM18" s="399">
        <f t="shared" ref="BM18" si="53">IFERROR(BH18/BG18,"")</f>
        <v>0.28661464585834329</v>
      </c>
      <c r="BN18" s="389" t="s">
        <v>441</v>
      </c>
      <c r="BO18" s="648">
        <f xml:space="preserve"> AVERAGE(BI18)</f>
        <v>1.1464585834333731</v>
      </c>
    </row>
    <row r="19" spans="1:67" s="435" customFormat="1" ht="81" customHeight="1" x14ac:dyDescent="0.25">
      <c r="A19" s="646"/>
      <c r="B19" s="646"/>
      <c r="C19" s="408" t="s">
        <v>75</v>
      </c>
      <c r="D19" s="387">
        <v>0.25</v>
      </c>
      <c r="E19" s="389" t="s">
        <v>377</v>
      </c>
      <c r="F19" s="389" t="s">
        <v>98</v>
      </c>
      <c r="G19" s="389" t="s">
        <v>99</v>
      </c>
      <c r="H19" s="422" t="s">
        <v>337</v>
      </c>
      <c r="I19" s="442" t="s">
        <v>373</v>
      </c>
      <c r="J19" s="389" t="s">
        <v>378</v>
      </c>
      <c r="K19" s="390">
        <v>0</v>
      </c>
      <c r="L19" s="390">
        <v>0</v>
      </c>
      <c r="M19" s="426">
        <v>3</v>
      </c>
      <c r="N19" s="425">
        <v>1</v>
      </c>
      <c r="O19" s="428">
        <v>6</v>
      </c>
      <c r="P19" s="425">
        <v>0</v>
      </c>
      <c r="Q19" s="425"/>
      <c r="R19" s="425"/>
      <c r="S19" s="425"/>
      <c r="T19" s="425"/>
      <c r="U19" s="390">
        <v>0</v>
      </c>
      <c r="V19" s="390">
        <v>0</v>
      </c>
      <c r="W19" s="390">
        <v>0</v>
      </c>
      <c r="X19" s="390">
        <v>0</v>
      </c>
      <c r="Y19" s="390">
        <v>0</v>
      </c>
      <c r="Z19" s="390">
        <v>0</v>
      </c>
      <c r="AA19" s="417">
        <f t="shared" si="21"/>
        <v>0</v>
      </c>
      <c r="AB19" s="417">
        <f t="shared" si="22"/>
        <v>0</v>
      </c>
      <c r="AC19" s="390">
        <v>2</v>
      </c>
      <c r="AD19" s="390">
        <v>0</v>
      </c>
      <c r="AE19" s="390">
        <v>0</v>
      </c>
      <c r="AF19" s="390"/>
      <c r="AG19" s="390">
        <v>1</v>
      </c>
      <c r="AH19" s="390">
        <v>0</v>
      </c>
      <c r="AI19" s="417">
        <f t="shared" si="23"/>
        <v>3</v>
      </c>
      <c r="AJ19" s="417">
        <f t="shared" si="23"/>
        <v>0</v>
      </c>
      <c r="AK19" s="429">
        <v>0</v>
      </c>
      <c r="AL19" s="429"/>
      <c r="AM19" s="429">
        <v>0</v>
      </c>
      <c r="AN19" s="429"/>
      <c r="AO19" s="429">
        <v>0</v>
      </c>
      <c r="AP19" s="429"/>
      <c r="AQ19" s="417">
        <f t="shared" si="24"/>
        <v>0</v>
      </c>
      <c r="AR19" s="417">
        <f t="shared" si="24"/>
        <v>0</v>
      </c>
      <c r="AS19" s="429">
        <v>1</v>
      </c>
      <c r="AT19" s="429"/>
      <c r="AU19" s="429">
        <v>1</v>
      </c>
      <c r="AV19" s="429"/>
      <c r="AW19" s="429">
        <v>1</v>
      </c>
      <c r="AX19" s="429"/>
      <c r="AY19" s="417">
        <f t="shared" si="25"/>
        <v>3</v>
      </c>
      <c r="AZ19" s="417">
        <f t="shared" si="25"/>
        <v>0</v>
      </c>
      <c r="BA19" s="429">
        <v>2</v>
      </c>
      <c r="BB19" s="429"/>
      <c r="BC19" s="429">
        <v>2</v>
      </c>
      <c r="BD19" s="429"/>
      <c r="BE19" s="429">
        <v>1</v>
      </c>
      <c r="BF19" s="429"/>
      <c r="BG19" s="419">
        <f t="shared" ref="BG19:BH23" si="54">SUM(AA19,AI19,AQ19,AY19)</f>
        <v>6</v>
      </c>
      <c r="BH19" s="419">
        <f t="shared" si="54"/>
        <v>0</v>
      </c>
      <c r="BI19" s="398" t="s">
        <v>413</v>
      </c>
      <c r="BJ19" s="398">
        <f t="shared" si="18"/>
        <v>0</v>
      </c>
      <c r="BK19" s="398">
        <f t="shared" si="2"/>
        <v>0</v>
      </c>
      <c r="BL19" s="398">
        <f t="shared" si="3"/>
        <v>0</v>
      </c>
      <c r="BM19" s="399">
        <f t="shared" si="4"/>
        <v>0</v>
      </c>
      <c r="BN19" s="389" t="s">
        <v>442</v>
      </c>
      <c r="BO19" s="648"/>
    </row>
    <row r="20" spans="1:67" s="435" customFormat="1" ht="204" x14ac:dyDescent="0.25">
      <c r="A20" s="646"/>
      <c r="B20" s="646"/>
      <c r="C20" s="408" t="s">
        <v>100</v>
      </c>
      <c r="D20" s="387">
        <v>0.25</v>
      </c>
      <c r="E20" s="389" t="s">
        <v>384</v>
      </c>
      <c r="F20" s="389" t="s">
        <v>101</v>
      </c>
      <c r="G20" s="389" t="s">
        <v>102</v>
      </c>
      <c r="H20" s="422" t="s">
        <v>337</v>
      </c>
      <c r="I20" s="442" t="s">
        <v>373</v>
      </c>
      <c r="J20" s="442" t="s">
        <v>379</v>
      </c>
      <c r="K20" s="390">
        <v>0</v>
      </c>
      <c r="L20" s="390">
        <v>0</v>
      </c>
      <c r="M20" s="426">
        <v>200</v>
      </c>
      <c r="N20" s="425">
        <v>0</v>
      </c>
      <c r="O20" s="428">
        <v>308</v>
      </c>
      <c r="P20" s="425"/>
      <c r="Q20" s="425"/>
      <c r="R20" s="425"/>
      <c r="S20" s="425"/>
      <c r="T20" s="425"/>
      <c r="U20" s="390">
        <v>0</v>
      </c>
      <c r="V20" s="390">
        <v>0</v>
      </c>
      <c r="W20" s="390">
        <v>0</v>
      </c>
      <c r="X20" s="390">
        <v>0</v>
      </c>
      <c r="Y20" s="390">
        <v>0</v>
      </c>
      <c r="Z20" s="390">
        <v>0</v>
      </c>
      <c r="AA20" s="417">
        <f t="shared" si="21"/>
        <v>0</v>
      </c>
      <c r="AB20" s="417">
        <f t="shared" si="22"/>
        <v>0</v>
      </c>
      <c r="AC20" s="390">
        <v>0</v>
      </c>
      <c r="AD20" s="390">
        <v>0</v>
      </c>
      <c r="AE20" s="390">
        <v>8</v>
      </c>
      <c r="AF20" s="390">
        <v>0</v>
      </c>
      <c r="AG20" s="390">
        <v>20</v>
      </c>
      <c r="AH20" s="390">
        <v>0</v>
      </c>
      <c r="AI20" s="417">
        <f>SUM(AC20,AE20,AG20)</f>
        <v>28</v>
      </c>
      <c r="AJ20" s="417">
        <f t="shared" si="23"/>
        <v>0</v>
      </c>
      <c r="AK20" s="390">
        <v>40</v>
      </c>
      <c r="AL20" s="390"/>
      <c r="AM20" s="390">
        <v>40</v>
      </c>
      <c r="AN20" s="390"/>
      <c r="AO20" s="390">
        <v>40</v>
      </c>
      <c r="AP20" s="390"/>
      <c r="AQ20" s="417">
        <f>SUM(AK20,AM20,AO20)</f>
        <v>120</v>
      </c>
      <c r="AR20" s="417">
        <f t="shared" si="24"/>
        <v>0</v>
      </c>
      <c r="AS20" s="390">
        <v>40</v>
      </c>
      <c r="AT20" s="390"/>
      <c r="AU20" s="390">
        <v>60</v>
      </c>
      <c r="AV20" s="390"/>
      <c r="AW20" s="390">
        <v>60</v>
      </c>
      <c r="AX20" s="390"/>
      <c r="AY20" s="417">
        <f t="shared" si="25"/>
        <v>160</v>
      </c>
      <c r="AZ20" s="417">
        <f t="shared" si="25"/>
        <v>0</v>
      </c>
      <c r="BA20" s="429">
        <v>200</v>
      </c>
      <c r="BB20" s="429"/>
      <c r="BC20" s="429">
        <v>200</v>
      </c>
      <c r="BD20" s="429"/>
      <c r="BE20" s="429">
        <v>0</v>
      </c>
      <c r="BF20" s="429"/>
      <c r="BG20" s="419">
        <f t="shared" si="54"/>
        <v>308</v>
      </c>
      <c r="BH20" s="419">
        <f t="shared" si="54"/>
        <v>0</v>
      </c>
      <c r="BI20" s="398" t="s">
        <v>413</v>
      </c>
      <c r="BJ20" s="398">
        <f t="shared" si="18"/>
        <v>0</v>
      </c>
      <c r="BK20" s="398">
        <f t="shared" si="2"/>
        <v>0</v>
      </c>
      <c r="BL20" s="398">
        <f t="shared" si="3"/>
        <v>0</v>
      </c>
      <c r="BM20" s="399">
        <f t="shared" si="4"/>
        <v>0</v>
      </c>
      <c r="BN20" s="389" t="s">
        <v>414</v>
      </c>
      <c r="BO20" s="648"/>
    </row>
    <row r="21" spans="1:67" s="435" customFormat="1" ht="204" x14ac:dyDescent="0.25">
      <c r="A21" s="408" t="s">
        <v>176</v>
      </c>
      <c r="B21" s="408" t="s">
        <v>175</v>
      </c>
      <c r="C21" s="408" t="s">
        <v>397</v>
      </c>
      <c r="D21" s="387">
        <v>1</v>
      </c>
      <c r="E21" s="431" t="s">
        <v>412</v>
      </c>
      <c r="F21" s="388" t="s">
        <v>309</v>
      </c>
      <c r="G21" s="388" t="s">
        <v>310</v>
      </c>
      <c r="H21" s="422" t="s">
        <v>337</v>
      </c>
      <c r="I21" s="408" t="s">
        <v>176</v>
      </c>
      <c r="J21" s="442" t="s">
        <v>398</v>
      </c>
      <c r="K21" s="456"/>
      <c r="L21" s="456"/>
      <c r="M21" s="425">
        <v>17</v>
      </c>
      <c r="N21" s="425">
        <v>19</v>
      </c>
      <c r="O21" s="425">
        <v>6</v>
      </c>
      <c r="P21" s="425"/>
      <c r="Q21" s="432">
        <v>6</v>
      </c>
      <c r="R21" s="432"/>
      <c r="S21" s="432">
        <v>6</v>
      </c>
      <c r="T21" s="432"/>
      <c r="U21" s="459">
        <v>1</v>
      </c>
      <c r="V21" s="459">
        <v>1</v>
      </c>
      <c r="W21" s="459">
        <v>1</v>
      </c>
      <c r="X21" s="459">
        <v>1</v>
      </c>
      <c r="Y21" s="459">
        <v>1</v>
      </c>
      <c r="Z21" s="459">
        <v>1</v>
      </c>
      <c r="AA21" s="417">
        <f t="shared" si="21"/>
        <v>3</v>
      </c>
      <c r="AB21" s="417">
        <f t="shared" si="21"/>
        <v>3</v>
      </c>
      <c r="AC21" s="459">
        <v>2</v>
      </c>
      <c r="AD21" s="460"/>
      <c r="AE21" s="459">
        <v>0</v>
      </c>
      <c r="AF21" s="460"/>
      <c r="AG21" s="461">
        <v>1</v>
      </c>
      <c r="AH21" s="462"/>
      <c r="AI21" s="417">
        <f t="shared" ref="AI21:AJ21" si="55">SUM(AC21,AE21,AG21)</f>
        <v>3</v>
      </c>
      <c r="AJ21" s="417">
        <f t="shared" si="55"/>
        <v>0</v>
      </c>
      <c r="AK21" s="461">
        <v>1</v>
      </c>
      <c r="AL21" s="463"/>
      <c r="AM21" s="461">
        <v>2</v>
      </c>
      <c r="AN21" s="463"/>
      <c r="AO21" s="461">
        <v>2</v>
      </c>
      <c r="AP21" s="464"/>
      <c r="AQ21" s="417">
        <f t="shared" ref="AQ21:AR21" si="56">SUM(AK21,AM21,AO21)</f>
        <v>5</v>
      </c>
      <c r="AR21" s="417">
        <f t="shared" si="56"/>
        <v>0</v>
      </c>
      <c r="AS21" s="461">
        <v>2</v>
      </c>
      <c r="AT21" s="463"/>
      <c r="AU21" s="461">
        <v>2</v>
      </c>
      <c r="AV21" s="463"/>
      <c r="AW21" s="461">
        <v>2</v>
      </c>
      <c r="AX21" s="463"/>
      <c r="AY21" s="417">
        <f t="shared" ref="AY21:AZ21" si="57">SUM(AS21,AU21,AW21)</f>
        <v>6</v>
      </c>
      <c r="AZ21" s="417">
        <f t="shared" si="57"/>
        <v>0</v>
      </c>
      <c r="BA21" s="465">
        <f t="shared" ref="BA21:BB21" si="58">SUM(AA21,AI21,AQ21,AY21)</f>
        <v>17</v>
      </c>
      <c r="BB21" s="465">
        <f t="shared" si="58"/>
        <v>3</v>
      </c>
      <c r="BC21" s="466">
        <f t="shared" ref="BC21" si="59">IFERROR(AB21/AA21,"")</f>
        <v>1</v>
      </c>
      <c r="BD21" s="466">
        <f t="shared" ref="BD21" si="60">IFERROR((AB21+AJ21)/(AA21+AI21),"")</f>
        <v>0.5</v>
      </c>
      <c r="BE21" s="467">
        <f t="shared" ref="BE21" si="61">IFERROR((AB21+AJ21+AR21)/(AA21+AI21+AQ21),"")</f>
        <v>0.27272727272727271</v>
      </c>
      <c r="BF21" s="467">
        <f>IFERROR((AB21+AJ21+AR21+AZ21)/(AA21+AI21+AQ21+AY21),"")</f>
        <v>0.17647058823529413</v>
      </c>
      <c r="BG21" s="419">
        <f t="shared" si="54"/>
        <v>17</v>
      </c>
      <c r="BH21" s="419">
        <f t="shared" si="54"/>
        <v>3</v>
      </c>
      <c r="BI21" s="398">
        <f t="shared" si="17"/>
        <v>1</v>
      </c>
      <c r="BJ21" s="398">
        <f t="shared" si="18"/>
        <v>0.5</v>
      </c>
      <c r="BK21" s="398">
        <f t="shared" si="2"/>
        <v>0.27272727272727271</v>
      </c>
      <c r="BL21" s="398">
        <f t="shared" si="3"/>
        <v>0.17647058823529413</v>
      </c>
      <c r="BM21" s="399">
        <f t="shared" si="4"/>
        <v>0.17647058823529413</v>
      </c>
      <c r="BN21" s="476" t="s">
        <v>445</v>
      </c>
      <c r="BO21" s="503">
        <f xml:space="preserve"> BI21</f>
        <v>1</v>
      </c>
    </row>
    <row r="22" spans="1:67" s="483" customFormat="1" ht="191.25" x14ac:dyDescent="0.25">
      <c r="A22" s="418" t="s">
        <v>387</v>
      </c>
      <c r="B22" s="457" t="s">
        <v>76</v>
      </c>
      <c r="C22" s="418" t="s">
        <v>77</v>
      </c>
      <c r="D22" s="387">
        <v>1</v>
      </c>
      <c r="E22" s="390" t="s">
        <v>403</v>
      </c>
      <c r="F22" s="478" t="s">
        <v>386</v>
      </c>
      <c r="G22" s="478" t="s">
        <v>74</v>
      </c>
      <c r="H22" s="479" t="s">
        <v>337</v>
      </c>
      <c r="I22" s="478" t="s">
        <v>388</v>
      </c>
      <c r="J22" s="478" t="s">
        <v>396</v>
      </c>
      <c r="K22" s="478"/>
      <c r="L22" s="478"/>
      <c r="M22" s="427">
        <v>1</v>
      </c>
      <c r="N22" s="427">
        <v>1</v>
      </c>
      <c r="O22" s="427">
        <v>1</v>
      </c>
      <c r="P22" s="425">
        <v>0</v>
      </c>
      <c r="Q22" s="427">
        <v>1</v>
      </c>
      <c r="R22" s="425"/>
      <c r="S22" s="427">
        <v>1</v>
      </c>
      <c r="T22" s="425"/>
      <c r="U22" s="480">
        <v>0</v>
      </c>
      <c r="V22" s="480">
        <v>0</v>
      </c>
      <c r="W22" s="480">
        <v>0</v>
      </c>
      <c r="X22" s="480">
        <v>0</v>
      </c>
      <c r="Y22" s="480">
        <v>0</v>
      </c>
      <c r="Z22" s="480">
        <v>0</v>
      </c>
      <c r="AA22" s="481">
        <f t="shared" si="21"/>
        <v>0</v>
      </c>
      <c r="AB22" s="481">
        <f t="shared" si="22"/>
        <v>0</v>
      </c>
      <c r="AC22" s="387">
        <v>0</v>
      </c>
      <c r="AD22" s="387">
        <v>0</v>
      </c>
      <c r="AE22" s="387">
        <v>0</v>
      </c>
      <c r="AF22" s="387">
        <v>0</v>
      </c>
      <c r="AG22" s="387">
        <v>0.5</v>
      </c>
      <c r="AH22" s="387">
        <v>0</v>
      </c>
      <c r="AI22" s="394">
        <f>SUM(AC22,AE22,AG22)</f>
        <v>0.5</v>
      </c>
      <c r="AJ22" s="394">
        <f t="shared" si="23"/>
        <v>0</v>
      </c>
      <c r="AK22" s="387">
        <v>0</v>
      </c>
      <c r="AL22" s="387"/>
      <c r="AM22" s="387">
        <v>0</v>
      </c>
      <c r="AN22" s="387"/>
      <c r="AO22" s="387">
        <v>0</v>
      </c>
      <c r="AP22" s="387"/>
      <c r="AQ22" s="394">
        <f t="shared" si="24"/>
        <v>0</v>
      </c>
      <c r="AR22" s="394">
        <f t="shared" si="24"/>
        <v>0</v>
      </c>
      <c r="AS22" s="387">
        <v>0</v>
      </c>
      <c r="AT22" s="387"/>
      <c r="AU22" s="387">
        <v>0</v>
      </c>
      <c r="AV22" s="387"/>
      <c r="AW22" s="387">
        <v>0.5</v>
      </c>
      <c r="AX22" s="387"/>
      <c r="AY22" s="394">
        <f t="shared" si="25"/>
        <v>0.5</v>
      </c>
      <c r="AZ22" s="394">
        <f t="shared" si="25"/>
        <v>0</v>
      </c>
      <c r="BA22" s="482"/>
      <c r="BB22" s="482"/>
      <c r="BC22" s="482">
        <v>1</v>
      </c>
      <c r="BD22" s="482"/>
      <c r="BE22" s="482">
        <v>1</v>
      </c>
      <c r="BF22" s="482"/>
      <c r="BG22" s="397">
        <f t="shared" si="54"/>
        <v>1</v>
      </c>
      <c r="BH22" s="397">
        <f t="shared" ref="BH22" si="62">AVERAGE(AB22,AJ22,AR22,AZ22)</f>
        <v>0</v>
      </c>
      <c r="BI22" s="484" t="s">
        <v>413</v>
      </c>
      <c r="BJ22" s="398"/>
      <c r="BK22" s="398"/>
      <c r="BL22" s="398">
        <f t="shared" si="3"/>
        <v>0</v>
      </c>
      <c r="BM22" s="399">
        <f t="shared" si="4"/>
        <v>0</v>
      </c>
      <c r="BN22" s="389" t="s">
        <v>440</v>
      </c>
      <c r="BO22" s="504">
        <v>0</v>
      </c>
    </row>
    <row r="23" spans="1:67" s="435" customFormat="1" ht="409.5" x14ac:dyDescent="0.25">
      <c r="A23" s="408" t="s">
        <v>45</v>
      </c>
      <c r="B23" s="408" t="s">
        <v>1</v>
      </c>
      <c r="C23" s="408" t="s">
        <v>30</v>
      </c>
      <c r="D23" s="387">
        <v>1</v>
      </c>
      <c r="E23" s="389" t="s">
        <v>187</v>
      </c>
      <c r="F23" s="388" t="s">
        <v>71</v>
      </c>
      <c r="G23" s="388" t="s">
        <v>72</v>
      </c>
      <c r="H23" s="388" t="s">
        <v>389</v>
      </c>
      <c r="I23" s="388" t="s">
        <v>390</v>
      </c>
      <c r="J23" s="388" t="s">
        <v>391</v>
      </c>
      <c r="K23" s="388"/>
      <c r="L23" s="388"/>
      <c r="M23" s="431">
        <v>1</v>
      </c>
      <c r="N23" s="431">
        <v>1</v>
      </c>
      <c r="O23" s="431">
        <v>1</v>
      </c>
      <c r="P23" s="431"/>
      <c r="Q23" s="444">
        <v>1</v>
      </c>
      <c r="R23" s="431"/>
      <c r="S23" s="444">
        <v>1</v>
      </c>
      <c r="T23" s="431"/>
      <c r="U23" s="395">
        <f>1/12</f>
        <v>8.3333333333333329E-2</v>
      </c>
      <c r="V23" s="395">
        <f>1/12</f>
        <v>8.3333333333333329E-2</v>
      </c>
      <c r="W23" s="395">
        <f t="shared" ref="W23:Y23" si="63">1/12</f>
        <v>8.3333333333333329E-2</v>
      </c>
      <c r="X23" s="395">
        <f>1/12</f>
        <v>8.3333333333333329E-2</v>
      </c>
      <c r="Y23" s="395">
        <f t="shared" si="63"/>
        <v>8.3333333333333329E-2</v>
      </c>
      <c r="Z23" s="395">
        <f>1/12</f>
        <v>8.3333333333333329E-2</v>
      </c>
      <c r="AA23" s="394">
        <f t="shared" si="21"/>
        <v>0.25</v>
      </c>
      <c r="AB23" s="394">
        <f t="shared" si="21"/>
        <v>0.25</v>
      </c>
      <c r="AC23" s="437">
        <f>1/12</f>
        <v>8.3333333333333329E-2</v>
      </c>
      <c r="AD23" s="437"/>
      <c r="AE23" s="437">
        <f t="shared" ref="AE23:AG23" si="64">1/12</f>
        <v>8.3333333333333329E-2</v>
      </c>
      <c r="AF23" s="437"/>
      <c r="AG23" s="437">
        <f t="shared" si="64"/>
        <v>8.3333333333333329E-2</v>
      </c>
      <c r="AH23" s="437"/>
      <c r="AI23" s="436">
        <f t="shared" si="23"/>
        <v>0.25</v>
      </c>
      <c r="AJ23" s="436">
        <f t="shared" si="23"/>
        <v>0</v>
      </c>
      <c r="AK23" s="437">
        <f>1/12</f>
        <v>8.3333333333333329E-2</v>
      </c>
      <c r="AL23" s="444"/>
      <c r="AM23" s="437">
        <f>1/12</f>
        <v>8.3333333333333329E-2</v>
      </c>
      <c r="AN23" s="444"/>
      <c r="AO23" s="437">
        <f>1/12</f>
        <v>8.3333333333333329E-2</v>
      </c>
      <c r="AP23" s="444"/>
      <c r="AQ23" s="436">
        <f t="shared" si="24"/>
        <v>0.25</v>
      </c>
      <c r="AR23" s="436">
        <f t="shared" si="24"/>
        <v>0</v>
      </c>
      <c r="AS23" s="437">
        <f>1/12</f>
        <v>8.3333333333333329E-2</v>
      </c>
      <c r="AT23" s="450"/>
      <c r="AU23" s="437">
        <f>1/12</f>
        <v>8.3333333333333329E-2</v>
      </c>
      <c r="AV23" s="450"/>
      <c r="AW23" s="437">
        <f>1/12</f>
        <v>8.3333333333333329E-2</v>
      </c>
      <c r="AX23" s="450"/>
      <c r="AY23" s="394">
        <f t="shared" si="25"/>
        <v>0.25</v>
      </c>
      <c r="AZ23" s="394">
        <f t="shared" si="25"/>
        <v>0</v>
      </c>
      <c r="BA23" s="387">
        <v>100</v>
      </c>
      <c r="BB23" s="387"/>
      <c r="BC23" s="387">
        <v>100</v>
      </c>
      <c r="BD23" s="387"/>
      <c r="BE23" s="387">
        <v>100</v>
      </c>
      <c r="BF23" s="387"/>
      <c r="BG23" s="397">
        <f t="shared" si="54"/>
        <v>1</v>
      </c>
      <c r="BH23" s="397">
        <f t="shared" si="26"/>
        <v>0.25</v>
      </c>
      <c r="BI23" s="398">
        <f t="shared" si="17"/>
        <v>1</v>
      </c>
      <c r="BJ23" s="398">
        <f t="shared" si="18"/>
        <v>0.5</v>
      </c>
      <c r="BK23" s="398">
        <f t="shared" si="2"/>
        <v>0.33333333333333331</v>
      </c>
      <c r="BL23" s="398">
        <f t="shared" si="3"/>
        <v>0.25</v>
      </c>
      <c r="BM23" s="477">
        <f t="shared" si="4"/>
        <v>0.25</v>
      </c>
      <c r="BN23" s="389" t="s">
        <v>415</v>
      </c>
      <c r="BO23" s="505">
        <f>BI23</f>
        <v>1</v>
      </c>
    </row>
  </sheetData>
  <sheetProtection algorithmName="SHA-512" hashValue="Re5SGK37NTWO6WXZ8etEBvja58+4Fw/AKDb/m0NCmTqTdQYXo4fb3P+MNcbPns0t4khUpI8JmfA6LKvwhM47CA==" saltValue="CErea86we+LrhQo7oifuvw==" spinCount="100000" sheet="1" objects="1" scenarios="1" formatCells="0" formatColumns="0"/>
  <mergeCells count="58">
    <mergeCell ref="A18:A20"/>
    <mergeCell ref="B18:B20"/>
    <mergeCell ref="BO18:BO20"/>
    <mergeCell ref="A14:A15"/>
    <mergeCell ref="B14:B15"/>
    <mergeCell ref="BO14:BO15"/>
    <mergeCell ref="A16:A17"/>
    <mergeCell ref="B16:B17"/>
    <mergeCell ref="BO16:BO17"/>
    <mergeCell ref="A8:A13"/>
    <mergeCell ref="B8:B13"/>
    <mergeCell ref="C8:C9"/>
    <mergeCell ref="O10:P10"/>
    <mergeCell ref="C11:C13"/>
    <mergeCell ref="O13:P13"/>
    <mergeCell ref="BC5:BD5"/>
    <mergeCell ref="BE5:BF5"/>
    <mergeCell ref="BG5:BH5"/>
    <mergeCell ref="AO5:AP5"/>
    <mergeCell ref="AQ5:AR5"/>
    <mergeCell ref="AS5:AT5"/>
    <mergeCell ref="AE5:AF5"/>
    <mergeCell ref="AG5:AH5"/>
    <mergeCell ref="AI5:AJ5"/>
    <mergeCell ref="AK5:AL5"/>
    <mergeCell ref="BA5:BB5"/>
    <mergeCell ref="O4:P5"/>
    <mergeCell ref="BN4:BN6"/>
    <mergeCell ref="BO4:BO6"/>
    <mergeCell ref="U5:V5"/>
    <mergeCell ref="W5:X5"/>
    <mergeCell ref="Y5:Z5"/>
    <mergeCell ref="AA5:AB5"/>
    <mergeCell ref="AM5:AN5"/>
    <mergeCell ref="AU5:AV5"/>
    <mergeCell ref="AW5:AX5"/>
    <mergeCell ref="AY5:AZ5"/>
    <mergeCell ref="S4:T5"/>
    <mergeCell ref="U4:BH4"/>
    <mergeCell ref="BI4:BL5"/>
    <mergeCell ref="BM4:BM6"/>
    <mergeCell ref="AC5:AD5"/>
    <mergeCell ref="BO8:BO13"/>
    <mergeCell ref="Q4:R5"/>
    <mergeCell ref="A1:B3"/>
    <mergeCell ref="C1:BN3"/>
    <mergeCell ref="A4:A6"/>
    <mergeCell ref="B4:B6"/>
    <mergeCell ref="C4:C6"/>
    <mergeCell ref="D4:D6"/>
    <mergeCell ref="E4:E6"/>
    <mergeCell ref="F4:F6"/>
    <mergeCell ref="G4:G6"/>
    <mergeCell ref="H4:H6"/>
    <mergeCell ref="I4:I6"/>
    <mergeCell ref="J4:J6"/>
    <mergeCell ref="K4:L5"/>
    <mergeCell ref="M4:N5"/>
  </mergeCells>
  <conditionalFormatting sqref="BM13:BM15 BM19:BM23">
    <cfRule type="cellIs" dxfId="59" priority="34" operator="between">
      <formula>0.75</formula>
      <formula>0.85</formula>
    </cfRule>
    <cfRule type="cellIs" dxfId="58" priority="35" operator="greaterThan">
      <formula>0.85</formula>
    </cfRule>
    <cfRule type="cellIs" dxfId="57" priority="36" operator="lessThan">
      <formula>0.75</formula>
    </cfRule>
  </conditionalFormatting>
  <conditionalFormatting sqref="BM12">
    <cfRule type="cellIs" dxfId="56" priority="31" operator="between">
      <formula>0.75</formula>
      <formula>0.85</formula>
    </cfRule>
    <cfRule type="cellIs" dxfId="55" priority="32" operator="greaterThan">
      <formula>0.85</formula>
    </cfRule>
    <cfRule type="cellIs" dxfId="54" priority="33" operator="lessThan">
      <formula>0.75</formula>
    </cfRule>
  </conditionalFormatting>
  <conditionalFormatting sqref="BM10">
    <cfRule type="cellIs" dxfId="53" priority="28" operator="between">
      <formula>0.75</formula>
      <formula>0.85</formula>
    </cfRule>
    <cfRule type="cellIs" dxfId="52" priority="29" operator="greaterThan">
      <formula>0.85</formula>
    </cfRule>
    <cfRule type="cellIs" dxfId="51" priority="30" operator="lessThan">
      <formula>0.75</formula>
    </cfRule>
  </conditionalFormatting>
  <conditionalFormatting sqref="BM11">
    <cfRule type="cellIs" dxfId="50" priority="25" operator="between">
      <formula>0.75</formula>
      <formula>0.85</formula>
    </cfRule>
    <cfRule type="cellIs" dxfId="49" priority="26" operator="greaterThan">
      <formula>0.85</formula>
    </cfRule>
    <cfRule type="cellIs" dxfId="48" priority="27" operator="lessThan">
      <formula>0.75</formula>
    </cfRule>
  </conditionalFormatting>
  <conditionalFormatting sqref="BM7">
    <cfRule type="cellIs" dxfId="47" priority="16" operator="between">
      <formula>0.75</formula>
      <formula>0.85</formula>
    </cfRule>
    <cfRule type="cellIs" dxfId="46" priority="17" operator="greaterThan">
      <formula>0.85</formula>
    </cfRule>
    <cfRule type="cellIs" dxfId="45" priority="18" operator="lessThan">
      <formula>0.75</formula>
    </cfRule>
  </conditionalFormatting>
  <conditionalFormatting sqref="BM8">
    <cfRule type="cellIs" dxfId="44" priority="13" operator="between">
      <formula>0.75</formula>
      <formula>0.85</formula>
    </cfRule>
    <cfRule type="cellIs" dxfId="43" priority="14" operator="greaterThan">
      <formula>0.85</formula>
    </cfRule>
    <cfRule type="cellIs" dxfId="42" priority="15" operator="lessThan">
      <formula>0.75</formula>
    </cfRule>
  </conditionalFormatting>
  <conditionalFormatting sqref="BM9">
    <cfRule type="cellIs" dxfId="41" priority="10" operator="between">
      <formula>0.75</formula>
      <formula>0.85</formula>
    </cfRule>
    <cfRule type="cellIs" dxfId="40" priority="11" operator="greaterThan">
      <formula>0.85</formula>
    </cfRule>
    <cfRule type="cellIs" dxfId="39" priority="12" operator="lessThan">
      <formula>0.75</formula>
    </cfRule>
  </conditionalFormatting>
  <conditionalFormatting sqref="BM18">
    <cfRule type="cellIs" dxfId="38" priority="7" operator="between">
      <formula>0.75</formula>
      <formula>0.85</formula>
    </cfRule>
    <cfRule type="cellIs" dxfId="37" priority="8" operator="greaterThan">
      <formula>0.85</formula>
    </cfRule>
    <cfRule type="cellIs" dxfId="36" priority="9" operator="lessThan">
      <formula>0.75</formula>
    </cfRule>
  </conditionalFormatting>
  <conditionalFormatting sqref="BM16">
    <cfRule type="cellIs" dxfId="35" priority="4" operator="between">
      <formula>0.75</formula>
      <formula>0.85</formula>
    </cfRule>
    <cfRule type="cellIs" dxfId="34" priority="5" operator="greaterThan">
      <formula>0.85</formula>
    </cfRule>
    <cfRule type="cellIs" dxfId="33" priority="6" operator="lessThan">
      <formula>0.75</formula>
    </cfRule>
  </conditionalFormatting>
  <conditionalFormatting sqref="BM17">
    <cfRule type="cellIs" dxfId="32" priority="1" operator="between">
      <formula>0.75</formula>
      <formula>0.85</formula>
    </cfRule>
    <cfRule type="cellIs" dxfId="31" priority="2" operator="greaterThan">
      <formula>0.85</formula>
    </cfRule>
    <cfRule type="cellIs" dxfId="30" priority="3" operator="lessThan">
      <formula>0.75</formula>
    </cfRule>
  </conditionalFormatting>
  <dataValidations count="4">
    <dataValidation allowBlank="1" showInputMessage="1" showErrorMessage="1" promptTitle="Producto" prompt="Describa el resultado de lo que se espera alcanzar cuando se cumpla la meta" sqref="G23:L23 G16:G17 G7" xr:uid="{F8A9B68B-E252-4B34-9760-AF3B1C216F89}"/>
    <dataValidation allowBlank="1" showInputMessage="1" showErrorMessage="1" prompt="Registre el o los productos o entregables que servirán de evidencia  " sqref="G12:G13 G10 K17:L17" xr:uid="{0729A5DE-D1FA-4A21-B472-6A283D276DB0}"/>
    <dataValidation allowBlank="1" showInputMessage="1" showErrorMessage="1" prompt="Registre las actividades macro que se requieren para cumplir las metas" sqref="BA22:BF22 S23 F12:G13 F10:G10 F22:G22 I22:T22 Q23" xr:uid="{B94F98F9-E38E-48F6-B2AA-32CDE9F4480A}"/>
    <dataValidation allowBlank="1" showInputMessage="1" showErrorMessage="1" promptTitle="Actividades" prompt="Registre las actividades macro que se requieren realizar para lograr la meta" sqref="BA23:BF23 F16:F17 F7:G7 F23:P23 R23 T23" xr:uid="{BF348D43-AFE3-40B6-B925-4F54A074E807}"/>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C974C-DFBE-4966-A7D3-1B9F950EA94E}">
  <sheetPr>
    <tabColor theme="4" tint="0.39997558519241921"/>
  </sheetPr>
  <dimension ref="A1:BP26"/>
  <sheetViews>
    <sheetView zoomScale="80" zoomScaleNormal="80" workbookViewId="0">
      <pane xSplit="2" ySplit="6" topLeftCell="AH11" activePane="bottomRight" state="frozen"/>
      <selection pane="topRight" activeCell="C1" sqref="C1"/>
      <selection pane="bottomLeft" activeCell="A7" sqref="A7"/>
      <selection pane="bottomRight" activeCell="BM12" sqref="BM12"/>
    </sheetView>
  </sheetViews>
  <sheetFormatPr baseColWidth="10" defaultColWidth="0" defaultRowHeight="9" x14ac:dyDescent="0.15"/>
  <cols>
    <col min="1" max="1" width="14.42578125" style="452" customWidth="1"/>
    <col min="2" max="2" width="31.7109375" style="452" customWidth="1"/>
    <col min="3" max="3" width="29.42578125" style="453" customWidth="1"/>
    <col min="4" max="4" width="17" style="452" customWidth="1"/>
    <col min="5" max="5" width="30.85546875" style="452" customWidth="1"/>
    <col min="6" max="6" width="61.140625" style="452" customWidth="1"/>
    <col min="7" max="7" width="58.5703125" style="452" customWidth="1"/>
    <col min="8" max="9" width="19.42578125" style="452" customWidth="1"/>
    <col min="10" max="10" width="22.28515625" style="452" customWidth="1"/>
    <col min="11" max="14" width="9.42578125" style="452" customWidth="1"/>
    <col min="15" max="15" width="10.85546875" style="452" customWidth="1"/>
    <col min="16" max="20" width="9.42578125" style="452" customWidth="1"/>
    <col min="21" max="21" width="7.140625" style="452" customWidth="1"/>
    <col min="22" max="33" width="5.7109375" style="452" customWidth="1"/>
    <col min="34" max="34" width="6" style="452" customWidth="1"/>
    <col min="35" max="35" width="5.7109375" style="452" customWidth="1"/>
    <col min="36" max="36" width="6" style="452" customWidth="1"/>
    <col min="37" max="37" width="5.42578125" style="452" customWidth="1"/>
    <col min="38" max="38" width="4.5703125" style="452" customWidth="1"/>
    <col min="39" max="39" width="6" style="452" customWidth="1"/>
    <col min="40" max="40" width="4.5703125" style="452" customWidth="1"/>
    <col min="41" max="41" width="6" style="452" customWidth="1"/>
    <col min="42" max="42" width="6.140625" style="452" customWidth="1"/>
    <col min="43" max="43" width="6" style="452" customWidth="1"/>
    <col min="44" max="44" width="7.140625" style="452" customWidth="1"/>
    <col min="45" max="45" width="6" style="452" customWidth="1"/>
    <col min="46" max="46" width="4.5703125" style="452" customWidth="1"/>
    <col min="47" max="47" width="6" style="452" customWidth="1"/>
    <col min="48" max="48" width="4.5703125" style="452" customWidth="1"/>
    <col min="49" max="49" width="6" style="452" customWidth="1"/>
    <col min="50" max="50" width="4.5703125" style="452" customWidth="1"/>
    <col min="51" max="51" width="6" style="452" customWidth="1"/>
    <col min="52" max="52" width="6.140625" style="452" customWidth="1"/>
    <col min="53" max="53" width="6.5703125" style="452" hidden="1" customWidth="1"/>
    <col min="54" max="54" width="6.140625" style="452" hidden="1" customWidth="1"/>
    <col min="55" max="55" width="6.5703125" style="452" hidden="1" customWidth="1"/>
    <col min="56" max="56" width="5.42578125" style="452" hidden="1" customWidth="1"/>
    <col min="57" max="57" width="6.5703125" style="452" hidden="1" customWidth="1"/>
    <col min="58" max="58" width="5.42578125" style="452" hidden="1" customWidth="1"/>
    <col min="59" max="59" width="10.42578125" style="452" customWidth="1"/>
    <col min="60" max="60" width="10.140625" style="452" customWidth="1"/>
    <col min="61" max="61" width="9.140625" style="452" customWidth="1"/>
    <col min="62" max="62" width="10" style="452" customWidth="1"/>
    <col min="63" max="64" width="9.42578125" style="452" customWidth="1"/>
    <col min="65" max="65" width="17.7109375" style="452" customWidth="1"/>
    <col min="66" max="66" width="110.28515625" style="453" customWidth="1"/>
    <col min="67" max="67" width="31.5703125" style="452" customWidth="1"/>
    <col min="68" max="68" width="0" style="452" hidden="1" customWidth="1"/>
    <col min="69" max="16384" width="22.42578125" style="452" hidden="1"/>
  </cols>
  <sheetData>
    <row r="1" spans="1:68" s="434" customFormat="1" ht="21" customHeight="1" x14ac:dyDescent="0.15">
      <c r="A1" s="633"/>
      <c r="B1" s="633"/>
      <c r="C1" s="634" t="s">
        <v>130</v>
      </c>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c r="AW1" s="634"/>
      <c r="AX1" s="634"/>
      <c r="AY1" s="634"/>
      <c r="AZ1" s="634"/>
      <c r="BA1" s="634"/>
      <c r="BB1" s="634"/>
      <c r="BC1" s="634"/>
      <c r="BD1" s="634"/>
      <c r="BE1" s="634"/>
      <c r="BF1" s="634"/>
      <c r="BG1" s="634"/>
      <c r="BH1" s="634"/>
      <c r="BI1" s="634"/>
      <c r="BJ1" s="634"/>
      <c r="BK1" s="634"/>
      <c r="BL1" s="634"/>
      <c r="BM1" s="634"/>
      <c r="BN1" s="634"/>
      <c r="BO1" s="380" t="s">
        <v>189</v>
      </c>
      <c r="BP1" s="380"/>
    </row>
    <row r="2" spans="1:68" s="434" customFormat="1" ht="16.5" customHeight="1" x14ac:dyDescent="0.25">
      <c r="A2" s="633"/>
      <c r="B2" s="633"/>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c r="AG2" s="634"/>
      <c r="AH2" s="634"/>
      <c r="AI2" s="634"/>
      <c r="AJ2" s="634"/>
      <c r="AK2" s="634"/>
      <c r="AL2" s="634"/>
      <c r="AM2" s="634"/>
      <c r="AN2" s="634"/>
      <c r="AO2" s="634"/>
      <c r="AP2" s="634"/>
      <c r="AQ2" s="634"/>
      <c r="AR2" s="634"/>
      <c r="AS2" s="634"/>
      <c r="AT2" s="634"/>
      <c r="AU2" s="634"/>
      <c r="AV2" s="634"/>
      <c r="AW2" s="634"/>
      <c r="AX2" s="634"/>
      <c r="AY2" s="634"/>
      <c r="AZ2" s="634"/>
      <c r="BA2" s="634"/>
      <c r="BB2" s="634"/>
      <c r="BC2" s="634"/>
      <c r="BD2" s="634"/>
      <c r="BE2" s="634"/>
      <c r="BF2" s="634"/>
      <c r="BG2" s="634"/>
      <c r="BH2" s="634"/>
      <c r="BI2" s="634"/>
      <c r="BJ2" s="634"/>
      <c r="BK2" s="634"/>
      <c r="BL2" s="634"/>
      <c r="BM2" s="634"/>
      <c r="BN2" s="634"/>
      <c r="BO2" s="380" t="s">
        <v>190</v>
      </c>
      <c r="BP2" s="435"/>
    </row>
    <row r="3" spans="1:68" s="434" customFormat="1" ht="41.25" customHeight="1" x14ac:dyDescent="0.25">
      <c r="A3" s="633"/>
      <c r="B3" s="633"/>
      <c r="C3" s="634"/>
      <c r="D3" s="634"/>
      <c r="E3" s="634"/>
      <c r="F3" s="634"/>
      <c r="G3" s="634"/>
      <c r="H3" s="634"/>
      <c r="I3" s="634"/>
      <c r="J3" s="634"/>
      <c r="K3" s="634"/>
      <c r="L3" s="634"/>
      <c r="M3" s="634"/>
      <c r="N3" s="634"/>
      <c r="O3" s="634"/>
      <c r="P3" s="634"/>
      <c r="Q3" s="634"/>
      <c r="R3" s="634"/>
      <c r="S3" s="634"/>
      <c r="T3" s="634"/>
      <c r="U3" s="634"/>
      <c r="V3" s="634"/>
      <c r="W3" s="634"/>
      <c r="X3" s="634"/>
      <c r="Y3" s="634"/>
      <c r="Z3" s="634"/>
      <c r="AA3" s="634"/>
      <c r="AB3" s="634"/>
      <c r="AC3" s="634"/>
      <c r="AD3" s="634"/>
      <c r="AE3" s="634"/>
      <c r="AF3" s="634"/>
      <c r="AG3" s="634"/>
      <c r="AH3" s="634"/>
      <c r="AI3" s="634"/>
      <c r="AJ3" s="634"/>
      <c r="AK3" s="634"/>
      <c r="AL3" s="634"/>
      <c r="AM3" s="634"/>
      <c r="AN3" s="634"/>
      <c r="AO3" s="634"/>
      <c r="AP3" s="634"/>
      <c r="AQ3" s="634"/>
      <c r="AR3" s="634"/>
      <c r="AS3" s="634"/>
      <c r="AT3" s="634"/>
      <c r="AU3" s="634"/>
      <c r="AV3" s="634"/>
      <c r="AW3" s="634"/>
      <c r="AX3" s="634"/>
      <c r="AY3" s="634"/>
      <c r="AZ3" s="634"/>
      <c r="BA3" s="634"/>
      <c r="BB3" s="634"/>
      <c r="BC3" s="634"/>
      <c r="BD3" s="634"/>
      <c r="BE3" s="634"/>
      <c r="BF3" s="634"/>
      <c r="BG3" s="634"/>
      <c r="BH3" s="634"/>
      <c r="BI3" s="634"/>
      <c r="BJ3" s="634"/>
      <c r="BK3" s="634"/>
      <c r="BL3" s="634"/>
      <c r="BM3" s="634"/>
      <c r="BN3" s="634"/>
      <c r="BO3" s="380" t="s">
        <v>191</v>
      </c>
      <c r="BP3" s="435"/>
    </row>
    <row r="4" spans="1:68" s="454" customFormat="1" ht="22.5" customHeight="1" x14ac:dyDescent="0.25">
      <c r="A4" s="635" t="s">
        <v>51</v>
      </c>
      <c r="B4" s="635" t="s">
        <v>17</v>
      </c>
      <c r="C4" s="635" t="s">
        <v>18</v>
      </c>
      <c r="D4" s="635" t="s">
        <v>61</v>
      </c>
      <c r="E4" s="635" t="s">
        <v>16</v>
      </c>
      <c r="F4" s="635" t="s">
        <v>15</v>
      </c>
      <c r="G4" s="635" t="s">
        <v>14</v>
      </c>
      <c r="H4" s="635" t="s">
        <v>334</v>
      </c>
      <c r="I4" s="635" t="s">
        <v>335</v>
      </c>
      <c r="J4" s="635" t="s">
        <v>336</v>
      </c>
      <c r="K4" s="632" t="s">
        <v>155</v>
      </c>
      <c r="L4" s="632"/>
      <c r="M4" s="632" t="s">
        <v>333</v>
      </c>
      <c r="N4" s="632"/>
      <c r="O4" s="632" t="s">
        <v>393</v>
      </c>
      <c r="P4" s="632"/>
      <c r="Q4" s="632" t="s">
        <v>409</v>
      </c>
      <c r="R4" s="632"/>
      <c r="S4" s="632" t="s">
        <v>410</v>
      </c>
      <c r="T4" s="632"/>
      <c r="U4" s="637" t="s">
        <v>304</v>
      </c>
      <c r="V4" s="638"/>
      <c r="W4" s="638"/>
      <c r="X4" s="638"/>
      <c r="Y4" s="638"/>
      <c r="Z4" s="638"/>
      <c r="AA4" s="638"/>
      <c r="AB4" s="638"/>
      <c r="AC4" s="638"/>
      <c r="AD4" s="638"/>
      <c r="AE4" s="638"/>
      <c r="AF4" s="638"/>
      <c r="AG4" s="638"/>
      <c r="AH4" s="638"/>
      <c r="AI4" s="638"/>
      <c r="AJ4" s="638"/>
      <c r="AK4" s="638"/>
      <c r="AL4" s="638"/>
      <c r="AM4" s="638"/>
      <c r="AN4" s="638"/>
      <c r="AO4" s="638"/>
      <c r="AP4" s="638"/>
      <c r="AQ4" s="638"/>
      <c r="AR4" s="638"/>
      <c r="AS4" s="638"/>
      <c r="AT4" s="638"/>
      <c r="AU4" s="638"/>
      <c r="AV4" s="638"/>
      <c r="AW4" s="638"/>
      <c r="AX4" s="638"/>
      <c r="AY4" s="638"/>
      <c r="AZ4" s="638"/>
      <c r="BA4" s="638"/>
      <c r="BB4" s="638"/>
      <c r="BC4" s="638"/>
      <c r="BD4" s="638"/>
      <c r="BE4" s="638"/>
      <c r="BF4" s="638"/>
      <c r="BG4" s="638"/>
      <c r="BH4" s="639"/>
      <c r="BI4" s="640" t="s">
        <v>9</v>
      </c>
      <c r="BJ4" s="640"/>
      <c r="BK4" s="640"/>
      <c r="BL4" s="640"/>
      <c r="BM4" s="640" t="s">
        <v>8</v>
      </c>
      <c r="BN4" s="635" t="s">
        <v>134</v>
      </c>
      <c r="BO4" s="635" t="s">
        <v>140</v>
      </c>
    </row>
    <row r="5" spans="1:68" s="454" customFormat="1" ht="38.25" customHeight="1" x14ac:dyDescent="0.25">
      <c r="A5" s="635"/>
      <c r="B5" s="635"/>
      <c r="C5" s="635"/>
      <c r="D5" s="635"/>
      <c r="E5" s="635"/>
      <c r="F5" s="635"/>
      <c r="G5" s="635"/>
      <c r="H5" s="635"/>
      <c r="I5" s="635"/>
      <c r="J5" s="635"/>
      <c r="K5" s="632"/>
      <c r="L5" s="632"/>
      <c r="M5" s="632"/>
      <c r="N5" s="632"/>
      <c r="O5" s="632"/>
      <c r="P5" s="632"/>
      <c r="Q5" s="632"/>
      <c r="R5" s="632"/>
      <c r="S5" s="632"/>
      <c r="T5" s="632"/>
      <c r="U5" s="632" t="s">
        <v>110</v>
      </c>
      <c r="V5" s="632"/>
      <c r="W5" s="632" t="s">
        <v>111</v>
      </c>
      <c r="X5" s="632"/>
      <c r="Y5" s="632" t="s">
        <v>112</v>
      </c>
      <c r="Z5" s="632"/>
      <c r="AA5" s="636" t="s">
        <v>13</v>
      </c>
      <c r="AB5" s="636"/>
      <c r="AC5" s="632" t="s">
        <v>113</v>
      </c>
      <c r="AD5" s="632"/>
      <c r="AE5" s="632" t="s">
        <v>114</v>
      </c>
      <c r="AF5" s="632"/>
      <c r="AG5" s="632" t="s">
        <v>115</v>
      </c>
      <c r="AH5" s="632"/>
      <c r="AI5" s="636" t="s">
        <v>12</v>
      </c>
      <c r="AJ5" s="636"/>
      <c r="AK5" s="632" t="s">
        <v>116</v>
      </c>
      <c r="AL5" s="632"/>
      <c r="AM5" s="632" t="s">
        <v>117</v>
      </c>
      <c r="AN5" s="632"/>
      <c r="AO5" s="632" t="s">
        <v>118</v>
      </c>
      <c r="AP5" s="632"/>
      <c r="AQ5" s="636" t="s">
        <v>11</v>
      </c>
      <c r="AR5" s="636"/>
      <c r="AS5" s="632" t="s">
        <v>119</v>
      </c>
      <c r="AT5" s="632"/>
      <c r="AU5" s="632" t="s">
        <v>120</v>
      </c>
      <c r="AV5" s="632"/>
      <c r="AW5" s="632" t="s">
        <v>121</v>
      </c>
      <c r="AX5" s="632"/>
      <c r="AY5" s="636" t="s">
        <v>10</v>
      </c>
      <c r="AZ5" s="636"/>
      <c r="BA5" s="641">
        <v>2022</v>
      </c>
      <c r="BB5" s="641"/>
      <c r="BC5" s="641">
        <v>2023</v>
      </c>
      <c r="BD5" s="641"/>
      <c r="BE5" s="641">
        <v>2024</v>
      </c>
      <c r="BF5" s="641"/>
      <c r="BG5" s="642" t="s">
        <v>392</v>
      </c>
      <c r="BH5" s="643"/>
      <c r="BI5" s="640"/>
      <c r="BJ5" s="640"/>
      <c r="BK5" s="640"/>
      <c r="BL5" s="640"/>
      <c r="BM5" s="640"/>
      <c r="BN5" s="635"/>
      <c r="BO5" s="635"/>
    </row>
    <row r="6" spans="1:68" s="386" customFormat="1" ht="38.25" customHeight="1" x14ac:dyDescent="0.25">
      <c r="A6" s="635"/>
      <c r="B6" s="635"/>
      <c r="C6" s="635"/>
      <c r="D6" s="635"/>
      <c r="E6" s="635"/>
      <c r="F6" s="635"/>
      <c r="G6" s="635"/>
      <c r="H6" s="635"/>
      <c r="I6" s="635"/>
      <c r="J6" s="635"/>
      <c r="K6" s="381" t="s">
        <v>7</v>
      </c>
      <c r="L6" s="381" t="s">
        <v>6</v>
      </c>
      <c r="M6" s="381" t="s">
        <v>7</v>
      </c>
      <c r="N6" s="381" t="s">
        <v>6</v>
      </c>
      <c r="O6" s="381" t="s">
        <v>7</v>
      </c>
      <c r="P6" s="381" t="s">
        <v>6</v>
      </c>
      <c r="Q6" s="381" t="s">
        <v>7</v>
      </c>
      <c r="R6" s="381" t="s">
        <v>6</v>
      </c>
      <c r="S6" s="381" t="s">
        <v>7</v>
      </c>
      <c r="T6" s="381" t="s">
        <v>6</v>
      </c>
      <c r="U6" s="381" t="s">
        <v>7</v>
      </c>
      <c r="V6" s="381" t="s">
        <v>6</v>
      </c>
      <c r="W6" s="381" t="s">
        <v>7</v>
      </c>
      <c r="X6" s="381" t="s">
        <v>6</v>
      </c>
      <c r="Y6" s="381" t="s">
        <v>7</v>
      </c>
      <c r="Z6" s="381" t="s">
        <v>6</v>
      </c>
      <c r="AA6" s="382" t="s">
        <v>7</v>
      </c>
      <c r="AB6" s="382" t="s">
        <v>6</v>
      </c>
      <c r="AC6" s="381" t="s">
        <v>7</v>
      </c>
      <c r="AD6" s="381" t="s">
        <v>6</v>
      </c>
      <c r="AE6" s="381" t="s">
        <v>7</v>
      </c>
      <c r="AF6" s="381" t="s">
        <v>6</v>
      </c>
      <c r="AG6" s="381" t="s">
        <v>7</v>
      </c>
      <c r="AH6" s="381" t="s">
        <v>6</v>
      </c>
      <c r="AI6" s="382" t="s">
        <v>7</v>
      </c>
      <c r="AJ6" s="382" t="s">
        <v>6</v>
      </c>
      <c r="AK6" s="381" t="s">
        <v>7</v>
      </c>
      <c r="AL6" s="381" t="s">
        <v>6</v>
      </c>
      <c r="AM6" s="381" t="s">
        <v>7</v>
      </c>
      <c r="AN6" s="381" t="s">
        <v>6</v>
      </c>
      <c r="AO6" s="381" t="s">
        <v>7</v>
      </c>
      <c r="AP6" s="381" t="s">
        <v>6</v>
      </c>
      <c r="AQ6" s="382" t="s">
        <v>7</v>
      </c>
      <c r="AR6" s="382" t="s">
        <v>6</v>
      </c>
      <c r="AS6" s="381" t="s">
        <v>7</v>
      </c>
      <c r="AT6" s="381" t="s">
        <v>6</v>
      </c>
      <c r="AU6" s="381" t="s">
        <v>7</v>
      </c>
      <c r="AV6" s="381" t="s">
        <v>6</v>
      </c>
      <c r="AW6" s="381" t="s">
        <v>7</v>
      </c>
      <c r="AX6" s="381" t="s">
        <v>6</v>
      </c>
      <c r="AY6" s="382" t="s">
        <v>7</v>
      </c>
      <c r="AZ6" s="382" t="s">
        <v>6</v>
      </c>
      <c r="BA6" s="383" t="s">
        <v>7</v>
      </c>
      <c r="BB6" s="383" t="s">
        <v>6</v>
      </c>
      <c r="BC6" s="383" t="s">
        <v>7</v>
      </c>
      <c r="BD6" s="383" t="s">
        <v>6</v>
      </c>
      <c r="BE6" s="383" t="s">
        <v>7</v>
      </c>
      <c r="BF6" s="383" t="s">
        <v>6</v>
      </c>
      <c r="BG6" s="384" t="s">
        <v>7</v>
      </c>
      <c r="BH6" s="384" t="s">
        <v>6</v>
      </c>
      <c r="BI6" s="385" t="s">
        <v>5</v>
      </c>
      <c r="BJ6" s="385" t="s">
        <v>4</v>
      </c>
      <c r="BK6" s="385" t="s">
        <v>3</v>
      </c>
      <c r="BL6" s="385" t="s">
        <v>2</v>
      </c>
      <c r="BM6" s="640"/>
      <c r="BN6" s="635"/>
      <c r="BO6" s="635"/>
    </row>
    <row r="7" spans="1:68" s="441" customFormat="1" ht="117.75" customHeight="1" x14ac:dyDescent="0.25">
      <c r="A7" s="389" t="s">
        <v>45</v>
      </c>
      <c r="B7" s="408" t="s">
        <v>19</v>
      </c>
      <c r="C7" s="389" t="s">
        <v>20</v>
      </c>
      <c r="D7" s="387">
        <v>1</v>
      </c>
      <c r="E7" s="408" t="s">
        <v>399</v>
      </c>
      <c r="F7" s="388" t="s">
        <v>44</v>
      </c>
      <c r="G7" s="388" t="s">
        <v>135</v>
      </c>
      <c r="H7" s="389" t="s">
        <v>337</v>
      </c>
      <c r="I7" s="389" t="s">
        <v>45</v>
      </c>
      <c r="J7" s="389" t="s">
        <v>400</v>
      </c>
      <c r="K7" s="391">
        <v>1</v>
      </c>
      <c r="L7" s="391">
        <v>1</v>
      </c>
      <c r="M7" s="391">
        <v>1</v>
      </c>
      <c r="N7" s="392"/>
      <c r="O7" s="391">
        <v>1</v>
      </c>
      <c r="P7" s="392"/>
      <c r="Q7" s="391">
        <v>1</v>
      </c>
      <c r="R7" s="392"/>
      <c r="S7" s="391">
        <v>1</v>
      </c>
      <c r="T7" s="392"/>
      <c r="U7" s="393">
        <f t="shared" ref="U7:W7" si="0">100/100</f>
        <v>1</v>
      </c>
      <c r="V7" s="393"/>
      <c r="W7" s="393">
        <f t="shared" si="0"/>
        <v>1</v>
      </c>
      <c r="X7" s="393"/>
      <c r="Y7" s="393">
        <f t="shared" ref="Y7" si="1">100/100</f>
        <v>1</v>
      </c>
      <c r="Z7" s="393"/>
      <c r="AA7" s="394">
        <f t="shared" ref="AA7" si="2">AVERAGE(U7,W7,Y7)</f>
        <v>1</v>
      </c>
      <c r="AB7" s="394" t="str">
        <f t="shared" ref="AB7" si="3">IFERROR(AVERAGE(V7,X7,Z7),"")</f>
        <v/>
      </c>
      <c r="AC7" s="393">
        <f t="shared" ref="AC7" si="4">100/100</f>
        <v>1</v>
      </c>
      <c r="AD7" s="395"/>
      <c r="AE7" s="393">
        <f t="shared" ref="AE7:AG7" si="5">100/100</f>
        <v>1</v>
      </c>
      <c r="AF7" s="395"/>
      <c r="AG7" s="393">
        <f t="shared" si="5"/>
        <v>1</v>
      </c>
      <c r="AH7" s="395"/>
      <c r="AI7" s="394">
        <f t="shared" ref="AI7" si="6">AVERAGE(AC7,AE7,AG7)</f>
        <v>1</v>
      </c>
      <c r="AJ7" s="394" t="str">
        <f t="shared" ref="AJ7" si="7">IFERROR(AVERAGE(AD7,AF7,AH7),"")</f>
        <v/>
      </c>
      <c r="AK7" s="393">
        <f t="shared" ref="AK7" si="8">100/100</f>
        <v>1</v>
      </c>
      <c r="AL7" s="395"/>
      <c r="AM7" s="393">
        <f t="shared" ref="AM7:AO7" si="9">100/100</f>
        <v>1</v>
      </c>
      <c r="AN7" s="395"/>
      <c r="AO7" s="393">
        <f t="shared" si="9"/>
        <v>1</v>
      </c>
      <c r="AP7" s="395"/>
      <c r="AQ7" s="394">
        <f t="shared" ref="AQ7" si="10">AVERAGE(AK7,AM7,AO7)</f>
        <v>1</v>
      </c>
      <c r="AR7" s="394" t="str">
        <f t="shared" ref="AR7" si="11">IFERROR(AVERAGE(AL7,AN7,AP7),"")</f>
        <v/>
      </c>
      <c r="AS7" s="393">
        <f t="shared" ref="AS7" si="12">100/100</f>
        <v>1</v>
      </c>
      <c r="AT7" s="395"/>
      <c r="AU7" s="393">
        <f t="shared" ref="AU7:AW7" si="13">100/100</f>
        <v>1</v>
      </c>
      <c r="AV7" s="395"/>
      <c r="AW7" s="393">
        <f t="shared" si="13"/>
        <v>1</v>
      </c>
      <c r="AX7" s="395"/>
      <c r="AY7" s="394">
        <f t="shared" ref="AY7" si="14">AVERAGE(AS7,AU7,AW7)</f>
        <v>1</v>
      </c>
      <c r="AZ7" s="394" t="str">
        <f>IFERROR(AVERAGE(AT7,AV7,AX7),"")</f>
        <v/>
      </c>
      <c r="BA7" s="396">
        <v>2</v>
      </c>
      <c r="BB7" s="396"/>
      <c r="BC7" s="396">
        <v>2</v>
      </c>
      <c r="BD7" s="396"/>
      <c r="BE7" s="396">
        <v>2</v>
      </c>
      <c r="BF7" s="396"/>
      <c r="BG7" s="397">
        <f>AVERAGE(AA7,AI7,AQ7,AY7)</f>
        <v>1</v>
      </c>
      <c r="BH7" s="397" t="str">
        <f>IFERROR(AVERAGE(AB7,AJ7,AR7,AZ7),"")</f>
        <v/>
      </c>
      <c r="BI7" s="398" t="str">
        <f>IFERROR(AB7/AA7,"")</f>
        <v/>
      </c>
      <c r="BJ7" s="398" t="str">
        <f t="shared" ref="BJ7" si="15">IFERROR((AB7+AJ7)/(AA7+AI7),"")</f>
        <v/>
      </c>
      <c r="BK7" s="398" t="str">
        <f t="shared" ref="BK7" si="16">IFERROR((AB7+AJ7+AR7)/(AA7+AI7+AQ7),"")</f>
        <v/>
      </c>
      <c r="BL7" s="398" t="str">
        <f t="shared" ref="BL7" si="17">IFERROR((AB7+AJ7+AR7+AZ7)/(AA7+AI7+AQ7+AY7),"")</f>
        <v/>
      </c>
      <c r="BM7" s="399" t="str">
        <f t="shared" ref="BM7" si="18">IFERROR(BH7/BG7,"")</f>
        <v/>
      </c>
      <c r="BN7" s="400"/>
      <c r="BO7" s="400"/>
    </row>
    <row r="8" spans="1:68" s="441" customFormat="1" ht="51" customHeight="1" x14ac:dyDescent="0.25">
      <c r="A8" s="644" t="s">
        <v>46</v>
      </c>
      <c r="B8" s="646" t="s">
        <v>21</v>
      </c>
      <c r="C8" s="646" t="s">
        <v>22</v>
      </c>
      <c r="D8" s="401">
        <v>0.5</v>
      </c>
      <c r="E8" s="408" t="s">
        <v>330</v>
      </c>
      <c r="F8" s="389" t="s">
        <v>331</v>
      </c>
      <c r="G8" s="389" t="s">
        <v>332</v>
      </c>
      <c r="H8" s="389" t="s">
        <v>337</v>
      </c>
      <c r="I8" s="389" t="s">
        <v>338</v>
      </c>
      <c r="J8" s="389" t="s">
        <v>339</v>
      </c>
      <c r="K8" s="391">
        <v>1</v>
      </c>
      <c r="L8" s="391">
        <v>1</v>
      </c>
      <c r="M8" s="391">
        <v>1</v>
      </c>
      <c r="N8" s="391">
        <v>0.57999999999999996</v>
      </c>
      <c r="O8" s="391">
        <v>1</v>
      </c>
      <c r="P8" s="391"/>
      <c r="Q8" s="391">
        <v>1</v>
      </c>
      <c r="R8" s="391"/>
      <c r="S8" s="391"/>
      <c r="T8" s="391"/>
      <c r="U8" s="387">
        <v>0</v>
      </c>
      <c r="V8" s="387">
        <v>0</v>
      </c>
      <c r="W8" s="387">
        <v>0</v>
      </c>
      <c r="X8" s="387">
        <v>0</v>
      </c>
      <c r="Y8" s="387">
        <v>0</v>
      </c>
      <c r="Z8" s="387">
        <v>0</v>
      </c>
      <c r="AA8" s="394">
        <f>SUM(U8,W8,Y8)</f>
        <v>0</v>
      </c>
      <c r="AB8" s="394">
        <f t="shared" ref="AB8" si="19">SUM(V8,X8,Z8)</f>
        <v>0</v>
      </c>
      <c r="AC8" s="387">
        <v>0</v>
      </c>
      <c r="AD8" s="387">
        <v>0</v>
      </c>
      <c r="AE8" s="402">
        <v>0.125</v>
      </c>
      <c r="AF8" s="387">
        <v>0</v>
      </c>
      <c r="AG8" s="402">
        <v>0.125</v>
      </c>
      <c r="AH8" s="387">
        <v>0</v>
      </c>
      <c r="AI8" s="394">
        <f>SUM(AC8,AE8,AG8)</f>
        <v>0.25</v>
      </c>
      <c r="AJ8" s="394">
        <f t="shared" ref="AJ8" si="20">SUM(AD8,AF8,AH8)</f>
        <v>0</v>
      </c>
      <c r="AK8" s="402">
        <f>12.5/100</f>
        <v>0.125</v>
      </c>
      <c r="AL8" s="387">
        <v>0</v>
      </c>
      <c r="AM8" s="402">
        <f>12.5/100</f>
        <v>0.125</v>
      </c>
      <c r="AN8" s="387">
        <v>0</v>
      </c>
      <c r="AO8" s="402">
        <f>12.5/100</f>
        <v>0.125</v>
      </c>
      <c r="AP8" s="402">
        <v>0</v>
      </c>
      <c r="AQ8" s="394">
        <f t="shared" ref="AQ8:AR8" si="21">SUM(AK8,AM8,AO8)</f>
        <v>0.375</v>
      </c>
      <c r="AR8" s="403">
        <f t="shared" si="21"/>
        <v>0</v>
      </c>
      <c r="AS8" s="402">
        <f>12.5/100</f>
        <v>0.125</v>
      </c>
      <c r="AT8" s="402"/>
      <c r="AU8" s="402">
        <f>12.5/100</f>
        <v>0.125</v>
      </c>
      <c r="AV8" s="402"/>
      <c r="AW8" s="402">
        <f>12.5/100</f>
        <v>0.125</v>
      </c>
      <c r="AX8" s="402"/>
      <c r="AY8" s="394">
        <f t="shared" ref="AY8:AZ8" si="22">SUM(AS8,AU8,AW8)</f>
        <v>0.375</v>
      </c>
      <c r="AZ8" s="394">
        <f t="shared" si="22"/>
        <v>0</v>
      </c>
      <c r="BA8" s="404">
        <v>100</v>
      </c>
      <c r="BB8" s="404"/>
      <c r="BC8" s="404">
        <v>100</v>
      </c>
      <c r="BD8" s="404"/>
      <c r="BE8" s="404">
        <v>100</v>
      </c>
      <c r="BF8" s="404"/>
      <c r="BG8" s="397">
        <f>SUM(AA8,AI8,AQ8,AY8)</f>
        <v>1</v>
      </c>
      <c r="BH8" s="405">
        <f>SUM(AB8,AJ8,AR8,AZ8)</f>
        <v>0</v>
      </c>
      <c r="BI8" s="398" t="str">
        <f t="shared" ref="BI8:BI15" si="23">IFERROR(AB8/AA8,"")</f>
        <v/>
      </c>
      <c r="BJ8" s="398">
        <f t="shared" ref="BJ8:BJ15" si="24">IFERROR((AB8+AJ8)/(AA8+AI8),"")</f>
        <v>0</v>
      </c>
      <c r="BK8" s="398">
        <f t="shared" ref="BK8:BK15" si="25">IFERROR((AB8+AJ8+AR8)/(AA8+AI8+AQ8),"")</f>
        <v>0</v>
      </c>
      <c r="BL8" s="398">
        <f t="shared" ref="BL8:BL15" si="26">IFERROR((AB8+AJ8+AR8+AZ8)/(AA8+AI8+AQ8+AY8),"")</f>
        <v>0</v>
      </c>
      <c r="BM8" s="399">
        <f t="shared" ref="BM8:BM26" si="27">IFERROR(BH8/BG8,"")</f>
        <v>0</v>
      </c>
      <c r="BN8" s="400"/>
      <c r="BO8" s="400"/>
    </row>
    <row r="9" spans="1:68" s="441" customFormat="1" ht="81" customHeight="1" x14ac:dyDescent="0.25">
      <c r="A9" s="645"/>
      <c r="B9" s="646"/>
      <c r="C9" s="646"/>
      <c r="D9" s="401">
        <v>0.5</v>
      </c>
      <c r="E9" s="408" t="s">
        <v>344</v>
      </c>
      <c r="F9" s="389" t="s">
        <v>340</v>
      </c>
      <c r="G9" s="389" t="s">
        <v>341</v>
      </c>
      <c r="H9" s="389" t="s">
        <v>337</v>
      </c>
      <c r="I9" s="389" t="s">
        <v>338</v>
      </c>
      <c r="J9" s="389" t="s">
        <v>342</v>
      </c>
      <c r="K9" s="400"/>
      <c r="L9" s="400"/>
      <c r="M9" s="391">
        <v>1</v>
      </c>
      <c r="N9" s="391">
        <v>0.95</v>
      </c>
      <c r="O9" s="391" t="s">
        <v>411</v>
      </c>
      <c r="P9" s="392"/>
      <c r="Q9" s="392"/>
      <c r="R9" s="392"/>
      <c r="S9" s="392"/>
      <c r="T9" s="392"/>
      <c r="U9" s="392"/>
      <c r="V9" s="392"/>
      <c r="W9" s="392"/>
      <c r="X9" s="392"/>
      <c r="Y9" s="406">
        <f>5/100</f>
        <v>0.05</v>
      </c>
      <c r="Z9" s="392"/>
      <c r="AA9" s="407">
        <f>SUM(U9,W9,Y9)</f>
        <v>0.05</v>
      </c>
      <c r="AB9" s="382">
        <f t="shared" ref="AB9" si="28">SUM(V9,X9,Z9)</f>
        <v>0</v>
      </c>
      <c r="AC9" s="406">
        <f>5/100</f>
        <v>0.05</v>
      </c>
      <c r="AD9" s="392"/>
      <c r="AE9" s="406">
        <f>10/100</f>
        <v>0.1</v>
      </c>
      <c r="AF9" s="392"/>
      <c r="AG9" s="406">
        <f>10/100</f>
        <v>0.1</v>
      </c>
      <c r="AH9" s="392"/>
      <c r="AI9" s="407">
        <f>SUM(AC9,AE9,AG9)</f>
        <v>0.25</v>
      </c>
      <c r="AJ9" s="382">
        <f t="shared" ref="AJ9" si="29">SUM(AD9,AF9,AH9)</f>
        <v>0</v>
      </c>
      <c r="AK9" s="406">
        <f>10/100</f>
        <v>0.1</v>
      </c>
      <c r="AL9" s="392"/>
      <c r="AM9" s="406">
        <f>10/100</f>
        <v>0.1</v>
      </c>
      <c r="AN9" s="392"/>
      <c r="AO9" s="406">
        <f>10/100</f>
        <v>0.1</v>
      </c>
      <c r="AP9" s="392"/>
      <c r="AQ9" s="407">
        <f>SUM(AK9,AM9,AO9)</f>
        <v>0.30000000000000004</v>
      </c>
      <c r="AR9" s="382">
        <f t="shared" ref="AR9" si="30">SUM(AL9,AN9,AP9)</f>
        <v>0</v>
      </c>
      <c r="AS9" s="406">
        <f>10/100</f>
        <v>0.1</v>
      </c>
      <c r="AT9" s="392"/>
      <c r="AU9" s="406">
        <f>20/100</f>
        <v>0.2</v>
      </c>
      <c r="AV9" s="392"/>
      <c r="AW9" s="406">
        <f>10/100</f>
        <v>0.1</v>
      </c>
      <c r="AX9" s="392"/>
      <c r="AY9" s="407">
        <f>SUM(AS9,AU9,AW9)</f>
        <v>0.4</v>
      </c>
      <c r="AZ9" s="382">
        <f t="shared" ref="AZ9" si="31">SUM(AT9,AV9,AX9)</f>
        <v>0</v>
      </c>
      <c r="BA9" s="400"/>
      <c r="BB9" s="400"/>
      <c r="BC9" s="400"/>
      <c r="BD9" s="400"/>
      <c r="BE9" s="400"/>
      <c r="BF9" s="400"/>
      <c r="BG9" s="407">
        <f>SUM(AA9,AI9,AQ9,AY9)</f>
        <v>1</v>
      </c>
      <c r="BH9" s="382">
        <f>SUM(AB9,AJ9,AR9,AZ9)</f>
        <v>0</v>
      </c>
      <c r="BI9" s="398">
        <f t="shared" si="23"/>
        <v>0</v>
      </c>
      <c r="BJ9" s="398">
        <f t="shared" si="24"/>
        <v>0</v>
      </c>
      <c r="BK9" s="398">
        <f t="shared" si="25"/>
        <v>0</v>
      </c>
      <c r="BL9" s="398">
        <f t="shared" si="26"/>
        <v>0</v>
      </c>
      <c r="BM9" s="399">
        <f t="shared" si="27"/>
        <v>0</v>
      </c>
      <c r="BN9" s="400"/>
      <c r="BO9" s="400"/>
    </row>
    <row r="10" spans="1:68" s="441" customFormat="1" ht="90" customHeight="1" x14ac:dyDescent="0.25">
      <c r="A10" s="645"/>
      <c r="B10" s="646"/>
      <c r="C10" s="408" t="s">
        <v>343</v>
      </c>
      <c r="D10" s="401">
        <v>1</v>
      </c>
      <c r="E10" s="408" t="s">
        <v>345</v>
      </c>
      <c r="F10" s="409" t="s">
        <v>54</v>
      </c>
      <c r="G10" s="409" t="s">
        <v>55</v>
      </c>
      <c r="H10" s="389" t="s">
        <v>337</v>
      </c>
      <c r="I10" s="389" t="s">
        <v>338</v>
      </c>
      <c r="J10" s="389" t="s">
        <v>348</v>
      </c>
      <c r="K10" s="400">
        <v>100</v>
      </c>
      <c r="L10" s="400">
        <v>100</v>
      </c>
      <c r="M10" s="392">
        <v>100</v>
      </c>
      <c r="N10" s="392">
        <v>100</v>
      </c>
      <c r="O10" s="653" t="s">
        <v>352</v>
      </c>
      <c r="P10" s="653"/>
      <c r="Q10" s="392"/>
      <c r="R10" s="392"/>
      <c r="S10" s="392"/>
      <c r="T10" s="392"/>
      <c r="U10" s="392"/>
      <c r="V10" s="392"/>
      <c r="W10" s="392"/>
      <c r="X10" s="392"/>
      <c r="Y10" s="392"/>
      <c r="Z10" s="392"/>
      <c r="AA10" s="382"/>
      <c r="AB10" s="382"/>
      <c r="AC10" s="392"/>
      <c r="AD10" s="392"/>
      <c r="AE10" s="392"/>
      <c r="AF10" s="392"/>
      <c r="AG10" s="392"/>
      <c r="AH10" s="392"/>
      <c r="AI10" s="382"/>
      <c r="AJ10" s="382"/>
      <c r="AK10" s="392"/>
      <c r="AL10" s="392"/>
      <c r="AM10" s="392"/>
      <c r="AN10" s="392"/>
      <c r="AO10" s="392"/>
      <c r="AP10" s="392"/>
      <c r="AQ10" s="382"/>
      <c r="AR10" s="382"/>
      <c r="AS10" s="392"/>
      <c r="AT10" s="392"/>
      <c r="AU10" s="392"/>
      <c r="AV10" s="392"/>
      <c r="AW10" s="392"/>
      <c r="AX10" s="392"/>
      <c r="AY10" s="382"/>
      <c r="AZ10" s="382"/>
      <c r="BA10" s="400"/>
      <c r="BB10" s="400"/>
      <c r="BC10" s="400"/>
      <c r="BD10" s="400"/>
      <c r="BE10" s="400"/>
      <c r="BF10" s="400"/>
      <c r="BG10" s="384"/>
      <c r="BH10" s="384"/>
      <c r="BI10" s="398" t="str">
        <f t="shared" si="23"/>
        <v/>
      </c>
      <c r="BJ10" s="398" t="str">
        <f t="shared" si="24"/>
        <v/>
      </c>
      <c r="BK10" s="398" t="str">
        <f t="shared" si="25"/>
        <v/>
      </c>
      <c r="BL10" s="398" t="str">
        <f t="shared" si="26"/>
        <v/>
      </c>
      <c r="BM10" s="399" t="str">
        <f t="shared" si="27"/>
        <v/>
      </c>
      <c r="BN10" s="400"/>
      <c r="BO10" s="400"/>
    </row>
    <row r="11" spans="1:68" s="441" customFormat="1" ht="49.5" customHeight="1" x14ac:dyDescent="0.25">
      <c r="A11" s="645"/>
      <c r="B11" s="646"/>
      <c r="C11" s="646" t="s">
        <v>66</v>
      </c>
      <c r="D11" s="401">
        <v>0.3</v>
      </c>
      <c r="E11" s="408" t="s">
        <v>346</v>
      </c>
      <c r="F11" s="409" t="s">
        <v>56</v>
      </c>
      <c r="G11" s="409" t="s">
        <v>347</v>
      </c>
      <c r="H11" s="389" t="s">
        <v>337</v>
      </c>
      <c r="I11" s="389" t="s">
        <v>338</v>
      </c>
      <c r="J11" s="389" t="s">
        <v>349</v>
      </c>
      <c r="K11" s="400">
        <v>0</v>
      </c>
      <c r="L11" s="400">
        <v>0</v>
      </c>
      <c r="M11" s="391">
        <v>1</v>
      </c>
      <c r="N11" s="391">
        <v>0.9</v>
      </c>
      <c r="O11" s="391" t="s">
        <v>394</v>
      </c>
      <c r="P11" s="392"/>
      <c r="Q11" s="392"/>
      <c r="R11" s="392"/>
      <c r="S11" s="392"/>
      <c r="T11" s="392"/>
      <c r="U11" s="406">
        <f>50/100</f>
        <v>0.5</v>
      </c>
      <c r="V11" s="392"/>
      <c r="W11" s="406">
        <f>50/100</f>
        <v>0.5</v>
      </c>
      <c r="X11" s="392"/>
      <c r="Y11" s="406">
        <v>0</v>
      </c>
      <c r="Z11" s="392"/>
      <c r="AA11" s="407">
        <f>SUM(U11,W11,Y11)</f>
        <v>1</v>
      </c>
      <c r="AB11" s="382">
        <f t="shared" ref="AB11" si="32">SUM(V11,X11,Z11)</f>
        <v>0</v>
      </c>
      <c r="AC11" s="406">
        <v>0</v>
      </c>
      <c r="AD11" s="392"/>
      <c r="AE11" s="406">
        <v>0</v>
      </c>
      <c r="AF11" s="392"/>
      <c r="AG11" s="406">
        <v>0</v>
      </c>
      <c r="AH11" s="392"/>
      <c r="AI11" s="407">
        <v>0</v>
      </c>
      <c r="AJ11" s="382"/>
      <c r="AK11" s="406">
        <v>0</v>
      </c>
      <c r="AL11" s="392"/>
      <c r="AM11" s="406">
        <v>0</v>
      </c>
      <c r="AN11" s="392"/>
      <c r="AO11" s="406">
        <v>0</v>
      </c>
      <c r="AP11" s="392"/>
      <c r="AQ11" s="407">
        <v>0</v>
      </c>
      <c r="AR11" s="382"/>
      <c r="AS11" s="406">
        <v>0</v>
      </c>
      <c r="AT11" s="392"/>
      <c r="AU11" s="406">
        <v>0</v>
      </c>
      <c r="AV11" s="392"/>
      <c r="AW11" s="406">
        <v>0</v>
      </c>
      <c r="AX11" s="392"/>
      <c r="AY11" s="407">
        <v>0</v>
      </c>
      <c r="AZ11" s="382"/>
      <c r="BA11" s="400"/>
      <c r="BB11" s="400"/>
      <c r="BC11" s="400"/>
      <c r="BD11" s="400"/>
      <c r="BE11" s="400"/>
      <c r="BF11" s="400"/>
      <c r="BG11" s="411">
        <f>AA11</f>
        <v>1</v>
      </c>
      <c r="BH11" s="384"/>
      <c r="BI11" s="398">
        <f t="shared" si="23"/>
        <v>0</v>
      </c>
      <c r="BJ11" s="398">
        <f t="shared" si="24"/>
        <v>0</v>
      </c>
      <c r="BK11" s="398">
        <f t="shared" si="25"/>
        <v>0</v>
      </c>
      <c r="BL11" s="398">
        <f t="shared" si="26"/>
        <v>0</v>
      </c>
      <c r="BM11" s="399">
        <f t="shared" si="27"/>
        <v>0</v>
      </c>
      <c r="BN11" s="400"/>
      <c r="BO11" s="400"/>
    </row>
    <row r="12" spans="1:68" s="441" customFormat="1" ht="92.25" customHeight="1" x14ac:dyDescent="0.25">
      <c r="A12" s="645"/>
      <c r="B12" s="646"/>
      <c r="C12" s="646"/>
      <c r="D12" s="401">
        <v>0.35</v>
      </c>
      <c r="E12" s="408" t="s">
        <v>350</v>
      </c>
      <c r="F12" s="409" t="s">
        <v>57</v>
      </c>
      <c r="G12" s="409" t="s">
        <v>58</v>
      </c>
      <c r="H12" s="389" t="s">
        <v>337</v>
      </c>
      <c r="I12" s="389" t="s">
        <v>338</v>
      </c>
      <c r="J12" s="389" t="s">
        <v>348</v>
      </c>
      <c r="K12" s="400">
        <v>0</v>
      </c>
      <c r="L12" s="400">
        <v>0</v>
      </c>
      <c r="M12" s="391">
        <v>1</v>
      </c>
      <c r="N12" s="391">
        <v>0.95</v>
      </c>
      <c r="O12" s="391" t="s">
        <v>395</v>
      </c>
      <c r="P12" s="392"/>
      <c r="Q12" s="392"/>
      <c r="R12" s="392"/>
      <c r="S12" s="392"/>
      <c r="T12" s="392"/>
      <c r="U12" s="412">
        <v>1</v>
      </c>
      <c r="V12" s="392"/>
      <c r="W12" s="392"/>
      <c r="X12" s="392"/>
      <c r="Y12" s="392"/>
      <c r="Z12" s="392"/>
      <c r="AA12" s="407">
        <f>SUM(U12,W12,Y12)</f>
        <v>1</v>
      </c>
      <c r="AB12" s="382">
        <f t="shared" ref="AB12" si="33">SUM(V12,X12,Z12)</f>
        <v>0</v>
      </c>
      <c r="AC12" s="406">
        <v>0</v>
      </c>
      <c r="AD12" s="392"/>
      <c r="AE12" s="406">
        <v>0</v>
      </c>
      <c r="AF12" s="392"/>
      <c r="AG12" s="406">
        <v>0</v>
      </c>
      <c r="AH12" s="392"/>
      <c r="AI12" s="407">
        <v>0</v>
      </c>
      <c r="AJ12" s="382"/>
      <c r="AK12" s="406">
        <v>0</v>
      </c>
      <c r="AL12" s="392"/>
      <c r="AM12" s="406">
        <v>0</v>
      </c>
      <c r="AN12" s="392"/>
      <c r="AO12" s="406">
        <v>0</v>
      </c>
      <c r="AP12" s="392"/>
      <c r="AQ12" s="407">
        <v>0</v>
      </c>
      <c r="AR12" s="382"/>
      <c r="AS12" s="406">
        <v>0</v>
      </c>
      <c r="AT12" s="392"/>
      <c r="AU12" s="406">
        <v>0</v>
      </c>
      <c r="AV12" s="392"/>
      <c r="AW12" s="406">
        <v>0</v>
      </c>
      <c r="AX12" s="392"/>
      <c r="AY12" s="407">
        <v>0</v>
      </c>
      <c r="AZ12" s="382"/>
      <c r="BA12" s="400"/>
      <c r="BB12" s="400"/>
      <c r="BC12" s="400"/>
      <c r="BD12" s="400"/>
      <c r="BE12" s="400"/>
      <c r="BF12" s="400"/>
      <c r="BG12" s="411">
        <f>AA12</f>
        <v>1</v>
      </c>
      <c r="BH12" s="384"/>
      <c r="BI12" s="398">
        <f t="shared" si="23"/>
        <v>0</v>
      </c>
      <c r="BJ12" s="398">
        <f t="shared" si="24"/>
        <v>0</v>
      </c>
      <c r="BK12" s="398">
        <f t="shared" si="25"/>
        <v>0</v>
      </c>
      <c r="BL12" s="398">
        <f t="shared" si="26"/>
        <v>0</v>
      </c>
      <c r="BM12" s="399">
        <f t="shared" si="27"/>
        <v>0</v>
      </c>
      <c r="BN12" s="400"/>
      <c r="BO12" s="400"/>
    </row>
    <row r="13" spans="1:68" s="441" customFormat="1" ht="56.25" customHeight="1" x14ac:dyDescent="0.25">
      <c r="A13" s="645"/>
      <c r="B13" s="646"/>
      <c r="C13" s="646"/>
      <c r="D13" s="401">
        <v>0.35</v>
      </c>
      <c r="E13" s="408" t="s">
        <v>351</v>
      </c>
      <c r="F13" s="409" t="s">
        <v>59</v>
      </c>
      <c r="G13" s="409" t="s">
        <v>60</v>
      </c>
      <c r="H13" s="389" t="s">
        <v>337</v>
      </c>
      <c r="I13" s="389" t="s">
        <v>338</v>
      </c>
      <c r="J13" s="389" t="s">
        <v>348</v>
      </c>
      <c r="K13" s="400">
        <v>0</v>
      </c>
      <c r="L13" s="400">
        <v>0</v>
      </c>
      <c r="M13" s="391">
        <v>1</v>
      </c>
      <c r="N13" s="391">
        <v>1</v>
      </c>
      <c r="O13" s="653" t="s">
        <v>352</v>
      </c>
      <c r="P13" s="653"/>
      <c r="Q13" s="392"/>
      <c r="R13" s="392"/>
      <c r="S13" s="392"/>
      <c r="T13" s="392"/>
      <c r="U13" s="392"/>
      <c r="V13" s="392"/>
      <c r="W13" s="392"/>
      <c r="X13" s="392"/>
      <c r="Y13" s="392"/>
      <c r="Z13" s="392"/>
      <c r="AA13" s="382"/>
      <c r="AB13" s="382"/>
      <c r="AC13" s="392"/>
      <c r="AD13" s="392"/>
      <c r="AE13" s="392"/>
      <c r="AF13" s="392"/>
      <c r="AG13" s="392"/>
      <c r="AH13" s="392"/>
      <c r="AI13" s="382"/>
      <c r="AJ13" s="382"/>
      <c r="AK13" s="392"/>
      <c r="AL13" s="392"/>
      <c r="AM13" s="392"/>
      <c r="AN13" s="392"/>
      <c r="AO13" s="392"/>
      <c r="AP13" s="392"/>
      <c r="AQ13" s="382"/>
      <c r="AR13" s="382"/>
      <c r="AS13" s="392"/>
      <c r="AT13" s="392"/>
      <c r="AU13" s="392"/>
      <c r="AV13" s="392"/>
      <c r="AW13" s="392"/>
      <c r="AX13" s="392"/>
      <c r="AY13" s="382"/>
      <c r="AZ13" s="382"/>
      <c r="BA13" s="400"/>
      <c r="BB13" s="400"/>
      <c r="BC13" s="400"/>
      <c r="BD13" s="400"/>
      <c r="BE13" s="400"/>
      <c r="BF13" s="400"/>
      <c r="BG13" s="384"/>
      <c r="BH13" s="384"/>
      <c r="BI13" s="398" t="str">
        <f t="shared" si="23"/>
        <v/>
      </c>
      <c r="BJ13" s="398" t="str">
        <f t="shared" si="24"/>
        <v/>
      </c>
      <c r="BK13" s="398" t="str">
        <f t="shared" si="25"/>
        <v/>
      </c>
      <c r="BL13" s="398" t="str">
        <f t="shared" si="26"/>
        <v/>
      </c>
      <c r="BM13" s="399" t="str">
        <f t="shared" si="27"/>
        <v/>
      </c>
      <c r="BN13" s="400"/>
      <c r="BO13" s="400"/>
    </row>
    <row r="14" spans="1:68" s="441" customFormat="1" ht="105" customHeight="1" x14ac:dyDescent="0.25">
      <c r="A14" s="645"/>
      <c r="B14" s="646"/>
      <c r="C14" s="413" t="s">
        <v>353</v>
      </c>
      <c r="D14" s="401">
        <v>1</v>
      </c>
      <c r="E14" s="408" t="s">
        <v>401</v>
      </c>
      <c r="F14" s="409" t="s">
        <v>355</v>
      </c>
      <c r="G14" s="409" t="s">
        <v>357</v>
      </c>
      <c r="H14" s="389" t="s">
        <v>337</v>
      </c>
      <c r="I14" s="389" t="s">
        <v>338</v>
      </c>
      <c r="J14" s="389" t="s">
        <v>359</v>
      </c>
      <c r="K14" s="400"/>
      <c r="L14" s="400"/>
      <c r="M14" s="391"/>
      <c r="N14" s="391"/>
      <c r="O14" s="391">
        <v>1</v>
      </c>
      <c r="P14" s="392"/>
      <c r="Q14" s="391">
        <v>1</v>
      </c>
      <c r="R14" s="392"/>
      <c r="S14" s="391">
        <v>1</v>
      </c>
      <c r="T14" s="392"/>
      <c r="U14" s="392"/>
      <c r="V14" s="392"/>
      <c r="W14" s="392"/>
      <c r="X14" s="392"/>
      <c r="Y14" s="406">
        <v>0.1</v>
      </c>
      <c r="Z14" s="392"/>
      <c r="AA14" s="407">
        <f>SUM(U14,W14,Y14)</f>
        <v>0.1</v>
      </c>
      <c r="AB14" s="382">
        <f t="shared" ref="AB14:AB15" si="34">SUM(V14,X14,Z14)</f>
        <v>0</v>
      </c>
      <c r="AC14" s="392"/>
      <c r="AD14" s="392"/>
      <c r="AE14" s="392"/>
      <c r="AF14" s="392"/>
      <c r="AG14" s="406">
        <v>0.4</v>
      </c>
      <c r="AH14" s="406"/>
      <c r="AI14" s="407">
        <f>SUM(AC14,AE14,AG14)</f>
        <v>0.4</v>
      </c>
      <c r="AJ14" s="382">
        <f t="shared" ref="AJ14:AJ15" si="35">SUM(AD14,AF14,AH14)</f>
        <v>0</v>
      </c>
      <c r="AK14" s="392"/>
      <c r="AL14" s="392"/>
      <c r="AM14" s="392"/>
      <c r="AN14" s="392"/>
      <c r="AO14" s="406">
        <v>0.5</v>
      </c>
      <c r="AP14" s="392"/>
      <c r="AQ14" s="407">
        <f>SUM(AK14,AM14,AO14)</f>
        <v>0.5</v>
      </c>
      <c r="AR14" s="382">
        <f t="shared" ref="AR14:AR15" si="36">SUM(AL14,AN14,AP14)</f>
        <v>0</v>
      </c>
      <c r="AS14" s="392"/>
      <c r="AT14" s="392"/>
      <c r="AU14" s="392"/>
      <c r="AV14" s="392"/>
      <c r="AW14" s="406">
        <v>0</v>
      </c>
      <c r="AX14" s="392"/>
      <c r="AY14" s="407">
        <f>SUM(AS14,AU14,AW14)</f>
        <v>0</v>
      </c>
      <c r="AZ14" s="382">
        <f t="shared" ref="AZ14:AZ15" si="37">SUM(AT14,AV14,AX14)</f>
        <v>0</v>
      </c>
      <c r="BA14" s="400"/>
      <c r="BB14" s="400"/>
      <c r="BC14" s="400"/>
      <c r="BD14" s="400"/>
      <c r="BE14" s="400"/>
      <c r="BF14" s="400"/>
      <c r="BG14" s="407">
        <f>SUM(AA14,AI14,AQ14,AY14)</f>
        <v>1</v>
      </c>
      <c r="BH14" s="382">
        <f>SUM(AB14,AJ14,AR14,AZ14)</f>
        <v>0</v>
      </c>
      <c r="BI14" s="398">
        <f>IFERROR(AB14/AA14,"")</f>
        <v>0</v>
      </c>
      <c r="BJ14" s="398">
        <f t="shared" si="24"/>
        <v>0</v>
      </c>
      <c r="BK14" s="398">
        <f t="shared" si="25"/>
        <v>0</v>
      </c>
      <c r="BL14" s="398">
        <f t="shared" si="26"/>
        <v>0</v>
      </c>
      <c r="BM14" s="399">
        <f t="shared" si="27"/>
        <v>0</v>
      </c>
      <c r="BN14" s="400"/>
      <c r="BO14" s="400"/>
    </row>
    <row r="15" spans="1:68" s="441" customFormat="1" ht="100.5" customHeight="1" x14ac:dyDescent="0.25">
      <c r="A15" s="650"/>
      <c r="B15" s="646"/>
      <c r="C15" s="413" t="s">
        <v>354</v>
      </c>
      <c r="D15" s="401">
        <v>1</v>
      </c>
      <c r="E15" s="408" t="s">
        <v>402</v>
      </c>
      <c r="F15" s="409" t="s">
        <v>356</v>
      </c>
      <c r="G15" s="409" t="s">
        <v>358</v>
      </c>
      <c r="H15" s="389" t="s">
        <v>337</v>
      </c>
      <c r="I15" s="389" t="s">
        <v>338</v>
      </c>
      <c r="J15" s="389" t="s">
        <v>360</v>
      </c>
      <c r="K15" s="400"/>
      <c r="L15" s="400"/>
      <c r="M15" s="392"/>
      <c r="N15" s="392"/>
      <c r="O15" s="391">
        <v>1</v>
      </c>
      <c r="P15" s="392"/>
      <c r="Q15" s="391">
        <v>1</v>
      </c>
      <c r="R15" s="392"/>
      <c r="S15" s="391">
        <v>1</v>
      </c>
      <c r="T15" s="392"/>
      <c r="U15" s="392"/>
      <c r="V15" s="392"/>
      <c r="W15" s="392"/>
      <c r="X15" s="392"/>
      <c r="Y15" s="406">
        <f>25/100</f>
        <v>0.25</v>
      </c>
      <c r="Z15" s="392"/>
      <c r="AA15" s="407">
        <f>SUM(U15,W15,Y15)</f>
        <v>0.25</v>
      </c>
      <c r="AB15" s="382">
        <f t="shared" si="34"/>
        <v>0</v>
      </c>
      <c r="AC15" s="392"/>
      <c r="AD15" s="392"/>
      <c r="AE15" s="392"/>
      <c r="AF15" s="392"/>
      <c r="AG15" s="406">
        <f>25/100</f>
        <v>0.25</v>
      </c>
      <c r="AH15" s="392"/>
      <c r="AI15" s="407">
        <f>SUM(AC15,AE15,AG15)</f>
        <v>0.25</v>
      </c>
      <c r="AJ15" s="382">
        <f t="shared" si="35"/>
        <v>0</v>
      </c>
      <c r="AK15" s="392"/>
      <c r="AL15" s="392"/>
      <c r="AM15" s="392"/>
      <c r="AN15" s="392"/>
      <c r="AO15" s="406">
        <f>25/100</f>
        <v>0.25</v>
      </c>
      <c r="AP15" s="392"/>
      <c r="AQ15" s="407">
        <f>SUM(AK15,AM15,AO15)</f>
        <v>0.25</v>
      </c>
      <c r="AR15" s="382">
        <f t="shared" si="36"/>
        <v>0</v>
      </c>
      <c r="AS15" s="392"/>
      <c r="AT15" s="392"/>
      <c r="AU15" s="392"/>
      <c r="AV15" s="392"/>
      <c r="AW15" s="406">
        <f>25/100</f>
        <v>0.25</v>
      </c>
      <c r="AX15" s="392"/>
      <c r="AY15" s="407">
        <f>SUM(AS15,AU15,AW15)</f>
        <v>0.25</v>
      </c>
      <c r="AZ15" s="382">
        <f t="shared" si="37"/>
        <v>0</v>
      </c>
      <c r="BA15" s="400"/>
      <c r="BB15" s="400"/>
      <c r="BC15" s="400"/>
      <c r="BD15" s="400"/>
      <c r="BE15" s="400"/>
      <c r="BF15" s="400"/>
      <c r="BG15" s="407">
        <f>SUM(AA15,AI15,AQ15,AY15)</f>
        <v>1</v>
      </c>
      <c r="BH15" s="382">
        <f>SUM(AB15,AJ15,AR15,AZ15)</f>
        <v>0</v>
      </c>
      <c r="BI15" s="398">
        <f t="shared" si="23"/>
        <v>0</v>
      </c>
      <c r="BJ15" s="398">
        <f t="shared" si="24"/>
        <v>0</v>
      </c>
      <c r="BK15" s="398">
        <f t="shared" si="25"/>
        <v>0</v>
      </c>
      <c r="BL15" s="398">
        <f t="shared" si="26"/>
        <v>0</v>
      </c>
      <c r="BM15" s="399">
        <f t="shared" si="27"/>
        <v>0</v>
      </c>
      <c r="BN15" s="400"/>
      <c r="BO15" s="400"/>
    </row>
    <row r="16" spans="1:68" s="435" customFormat="1" ht="51" x14ac:dyDescent="0.25">
      <c r="A16" s="646" t="s">
        <v>47</v>
      </c>
      <c r="B16" s="646" t="s">
        <v>21</v>
      </c>
      <c r="C16" s="408" t="s">
        <v>406</v>
      </c>
      <c r="D16" s="387">
        <v>1</v>
      </c>
      <c r="E16" s="408" t="s">
        <v>407</v>
      </c>
      <c r="F16" s="414" t="s">
        <v>62</v>
      </c>
      <c r="G16" s="414" t="s">
        <v>63</v>
      </c>
      <c r="H16" s="389" t="s">
        <v>362</v>
      </c>
      <c r="I16" s="414" t="s">
        <v>363</v>
      </c>
      <c r="J16" s="414" t="s">
        <v>364</v>
      </c>
      <c r="K16" s="390">
        <v>0</v>
      </c>
      <c r="L16" s="390">
        <v>0</v>
      </c>
      <c r="M16" s="415" t="s">
        <v>361</v>
      </c>
      <c r="N16" s="415" t="s">
        <v>361</v>
      </c>
      <c r="O16" s="415">
        <v>1</v>
      </c>
      <c r="P16" s="416">
        <v>0</v>
      </c>
      <c r="Q16" s="416"/>
      <c r="R16" s="416"/>
      <c r="S16" s="416"/>
      <c r="T16" s="416"/>
      <c r="U16" s="390">
        <v>0</v>
      </c>
      <c r="V16" s="390">
        <v>0</v>
      </c>
      <c r="W16" s="390">
        <v>0</v>
      </c>
      <c r="X16" s="390">
        <v>0</v>
      </c>
      <c r="Y16" s="390">
        <v>1</v>
      </c>
      <c r="Z16" s="390"/>
      <c r="AA16" s="417">
        <f t="shared" ref="AA16:AB26" si="38">SUM(U16,W16,Y16)</f>
        <v>1</v>
      </c>
      <c r="AB16" s="417">
        <f t="shared" ref="AB16:AB25" si="39">SUM(V16,X16,Z16)</f>
        <v>0</v>
      </c>
      <c r="AC16" s="390">
        <v>0</v>
      </c>
      <c r="AD16" s="390">
        <v>0</v>
      </c>
      <c r="AE16" s="390">
        <v>0</v>
      </c>
      <c r="AF16" s="390">
        <v>0</v>
      </c>
      <c r="AG16" s="390">
        <v>1</v>
      </c>
      <c r="AH16" s="390"/>
      <c r="AI16" s="417">
        <f t="shared" ref="AI16:AJ26" si="40">SUM(AC16,AE16,AG16)</f>
        <v>1</v>
      </c>
      <c r="AJ16" s="417">
        <f t="shared" si="40"/>
        <v>0</v>
      </c>
      <c r="AK16" s="390">
        <v>0</v>
      </c>
      <c r="AL16" s="390"/>
      <c r="AM16" s="390">
        <v>1</v>
      </c>
      <c r="AN16" s="390"/>
      <c r="AO16" s="390">
        <v>0</v>
      </c>
      <c r="AP16" s="390"/>
      <c r="AQ16" s="417">
        <f t="shared" ref="AQ16:AR26" si="41">SUM(AK16,AM16,AO16)</f>
        <v>1</v>
      </c>
      <c r="AR16" s="417">
        <f t="shared" si="41"/>
        <v>0</v>
      </c>
      <c r="AS16" s="390">
        <v>1</v>
      </c>
      <c r="AT16" s="390"/>
      <c r="AU16" s="390">
        <v>0</v>
      </c>
      <c r="AV16" s="390"/>
      <c r="AW16" s="390">
        <v>1</v>
      </c>
      <c r="AX16" s="390"/>
      <c r="AY16" s="417">
        <f t="shared" ref="AY16:AZ26" si="42">SUM(AS16,AU16,AW16)</f>
        <v>2</v>
      </c>
      <c r="AZ16" s="417">
        <f t="shared" si="42"/>
        <v>0</v>
      </c>
      <c r="BA16" s="418">
        <v>4</v>
      </c>
      <c r="BB16" s="418"/>
      <c r="BC16" s="418">
        <v>4</v>
      </c>
      <c r="BD16" s="418"/>
      <c r="BE16" s="418">
        <v>4</v>
      </c>
      <c r="BF16" s="418"/>
      <c r="BG16" s="419">
        <f>SUM(AA16,AI16,AQ16,AY16)</f>
        <v>5</v>
      </c>
      <c r="BH16" s="419">
        <f t="shared" ref="BH16:BH26" si="43">SUM(AB16,AJ16,AR16,AZ16)</f>
        <v>0</v>
      </c>
      <c r="BI16" s="398">
        <f t="shared" ref="BI16:BI26" si="44">IFERROR(AB16/AA16,"")</f>
        <v>0</v>
      </c>
      <c r="BJ16" s="398">
        <f t="shared" ref="BJ16:BJ26" si="45">IFERROR((AB16+AJ16)/(AA16+AI16),"")</f>
        <v>0</v>
      </c>
      <c r="BK16" s="398">
        <f t="shared" ref="BK16:BK26" si="46">IFERROR((AB16+AJ16+AR16)/(AA16+AI16+AQ16),"")</f>
        <v>0</v>
      </c>
      <c r="BL16" s="398">
        <f t="shared" ref="BL16:BL26" si="47">IFERROR((AB16+AJ16+AR16+AZ16)/(AA16+AI16+AQ16+AY16),"")</f>
        <v>0</v>
      </c>
      <c r="BM16" s="399">
        <f t="shared" si="27"/>
        <v>0</v>
      </c>
      <c r="BN16" s="390"/>
      <c r="BO16" s="652" t="e">
        <f>BM16+BM17/2</f>
        <v>#VALUE!</v>
      </c>
    </row>
    <row r="17" spans="1:67" s="435" customFormat="1" ht="63.75" x14ac:dyDescent="0.25">
      <c r="A17" s="646"/>
      <c r="B17" s="646"/>
      <c r="C17" s="408" t="s">
        <v>67</v>
      </c>
      <c r="D17" s="387">
        <v>1</v>
      </c>
      <c r="E17" s="408" t="s">
        <v>408</v>
      </c>
      <c r="F17" s="420" t="s">
        <v>109</v>
      </c>
      <c r="G17" s="420" t="s">
        <v>64</v>
      </c>
      <c r="H17" s="389" t="s">
        <v>362</v>
      </c>
      <c r="I17" s="414" t="s">
        <v>363</v>
      </c>
      <c r="J17" s="414" t="s">
        <v>364</v>
      </c>
      <c r="K17" s="390">
        <v>0</v>
      </c>
      <c r="L17" s="390">
        <v>0</v>
      </c>
      <c r="M17" s="415" t="s">
        <v>372</v>
      </c>
      <c r="N17" s="415" t="s">
        <v>365</v>
      </c>
      <c r="O17" s="416">
        <v>0</v>
      </c>
      <c r="P17" s="416">
        <v>0</v>
      </c>
      <c r="Q17" s="416"/>
      <c r="R17" s="416"/>
      <c r="S17" s="416"/>
      <c r="T17" s="416"/>
      <c r="U17" s="393">
        <f t="shared" ref="U17:W20" si="48">100/100</f>
        <v>1</v>
      </c>
      <c r="V17" s="393"/>
      <c r="W17" s="393">
        <f t="shared" si="48"/>
        <v>1</v>
      </c>
      <c r="X17" s="393"/>
      <c r="Y17" s="393">
        <f t="shared" ref="W17:Y20" si="49">100/100</f>
        <v>1</v>
      </c>
      <c r="Z17" s="393"/>
      <c r="AA17" s="394">
        <f t="shared" ref="AA17" si="50">AVERAGE(U17,W17,Y17)</f>
        <v>1</v>
      </c>
      <c r="AB17" s="394" t="str">
        <f t="shared" ref="AB17" si="51">IFERROR(AVERAGE(V17,X17,Z17),"")</f>
        <v/>
      </c>
      <c r="AC17" s="393">
        <f t="shared" ref="AC17:AC20" si="52">100/100</f>
        <v>1</v>
      </c>
      <c r="AD17" s="395"/>
      <c r="AE17" s="393">
        <f t="shared" ref="AE17:AG20" si="53">100/100</f>
        <v>1</v>
      </c>
      <c r="AF17" s="395"/>
      <c r="AG17" s="393">
        <f t="shared" si="53"/>
        <v>1</v>
      </c>
      <c r="AH17" s="395"/>
      <c r="AI17" s="394">
        <f t="shared" ref="AI17" si="54">AVERAGE(AC17,AE17,AG17)</f>
        <v>1</v>
      </c>
      <c r="AJ17" s="394" t="str">
        <f t="shared" ref="AJ17" si="55">IFERROR(AVERAGE(AD17,AF17,AH17),"")</f>
        <v/>
      </c>
      <c r="AK17" s="393">
        <f t="shared" ref="AK17:AK20" si="56">100/100</f>
        <v>1</v>
      </c>
      <c r="AL17" s="395"/>
      <c r="AM17" s="393">
        <f t="shared" ref="AM17:AO20" si="57">100/100</f>
        <v>1</v>
      </c>
      <c r="AN17" s="395"/>
      <c r="AO17" s="393">
        <f t="shared" si="57"/>
        <v>1</v>
      </c>
      <c r="AP17" s="395"/>
      <c r="AQ17" s="394">
        <f t="shared" ref="AQ17" si="58">AVERAGE(AK17,AM17,AO17)</f>
        <v>1</v>
      </c>
      <c r="AR17" s="394" t="str">
        <f t="shared" ref="AR17" si="59">IFERROR(AVERAGE(AL17,AN17,AP17),"")</f>
        <v/>
      </c>
      <c r="AS17" s="393">
        <f t="shared" ref="AS17:AS20" si="60">100/100</f>
        <v>1</v>
      </c>
      <c r="AT17" s="395"/>
      <c r="AU17" s="393">
        <f t="shared" ref="AU17:AW20" si="61">100/100</f>
        <v>1</v>
      </c>
      <c r="AV17" s="395"/>
      <c r="AW17" s="393">
        <f t="shared" si="61"/>
        <v>1</v>
      </c>
      <c r="AX17" s="395"/>
      <c r="AY17" s="394">
        <f t="shared" ref="AY17" si="62">AVERAGE(AS17,AU17,AW17)</f>
        <v>1</v>
      </c>
      <c r="AZ17" s="394" t="str">
        <f>IFERROR(AVERAGE(AT17,AV17,AX17),"")</f>
        <v/>
      </c>
      <c r="BA17" s="396">
        <v>2</v>
      </c>
      <c r="BB17" s="396"/>
      <c r="BC17" s="396">
        <v>2</v>
      </c>
      <c r="BD17" s="396"/>
      <c r="BE17" s="396">
        <v>2</v>
      </c>
      <c r="BF17" s="396"/>
      <c r="BG17" s="397">
        <f>AVERAGE(AA17,AI17,AQ17,AY17)</f>
        <v>1</v>
      </c>
      <c r="BH17" s="397" t="str">
        <f>IFERROR(AVERAGE(AB17,AJ17,AR17,AZ17),"")</f>
        <v/>
      </c>
      <c r="BI17" s="398" t="str">
        <f>IFERROR(AB17/AA17,"")</f>
        <v/>
      </c>
      <c r="BJ17" s="398" t="str">
        <f t="shared" ref="BJ17:BJ21" si="63">IFERROR((AB17+AJ17)/(AA17+AI17),"")</f>
        <v/>
      </c>
      <c r="BK17" s="398" t="str">
        <f t="shared" ref="BK17:BK21" si="64">IFERROR((AB17+AJ17+AR17)/(AA17+AI17+AQ17),"")</f>
        <v/>
      </c>
      <c r="BL17" s="398" t="str">
        <f t="shared" ref="BL17:BL21" si="65">IFERROR((AB17+AJ17+AR17+AZ17)/(AA17+AI17+AQ17+AY17),"")</f>
        <v/>
      </c>
      <c r="BM17" s="399" t="str">
        <f t="shared" si="27"/>
        <v/>
      </c>
      <c r="BN17" s="390"/>
      <c r="BO17" s="651"/>
    </row>
    <row r="18" spans="1:67" s="435" customFormat="1" ht="54" x14ac:dyDescent="0.25">
      <c r="A18" s="646" t="s">
        <v>48</v>
      </c>
      <c r="B18" s="646" t="s">
        <v>24</v>
      </c>
      <c r="C18" s="408" t="s">
        <v>86</v>
      </c>
      <c r="D18" s="387">
        <v>0.3</v>
      </c>
      <c r="E18" s="389" t="s">
        <v>366</v>
      </c>
      <c r="F18" s="420" t="s">
        <v>87</v>
      </c>
      <c r="G18" s="420" t="s">
        <v>88</v>
      </c>
      <c r="H18" s="422" t="s">
        <v>337</v>
      </c>
      <c r="I18" s="442" t="s">
        <v>368</v>
      </c>
      <c r="J18" s="442" t="s">
        <v>369</v>
      </c>
      <c r="K18" s="423">
        <v>0</v>
      </c>
      <c r="L18" s="423">
        <v>0</v>
      </c>
      <c r="M18" s="424">
        <v>1</v>
      </c>
      <c r="N18" s="424">
        <v>1</v>
      </c>
      <c r="O18" s="424">
        <v>1</v>
      </c>
      <c r="P18" s="423">
        <v>0</v>
      </c>
      <c r="Q18" s="423"/>
      <c r="R18" s="423"/>
      <c r="S18" s="423"/>
      <c r="T18" s="423"/>
      <c r="U18" s="393">
        <f t="shared" si="48"/>
        <v>1</v>
      </c>
      <c r="V18" s="395"/>
      <c r="W18" s="393">
        <f t="shared" si="49"/>
        <v>1</v>
      </c>
      <c r="X18" s="395"/>
      <c r="Y18" s="393">
        <f t="shared" si="49"/>
        <v>1</v>
      </c>
      <c r="Z18" s="395"/>
      <c r="AA18" s="394">
        <f t="shared" ref="AA18" si="66">AVERAGE(U18,W18,Y18)</f>
        <v>1</v>
      </c>
      <c r="AB18" s="394" t="str">
        <f t="shared" ref="AB18" si="67">IFERROR(AVERAGE(V18,X18,Z18),"")</f>
        <v/>
      </c>
      <c r="AC18" s="393">
        <f t="shared" si="52"/>
        <v>1</v>
      </c>
      <c r="AD18" s="395"/>
      <c r="AE18" s="393">
        <f t="shared" si="53"/>
        <v>1</v>
      </c>
      <c r="AF18" s="395"/>
      <c r="AG18" s="393">
        <f t="shared" si="53"/>
        <v>1</v>
      </c>
      <c r="AH18" s="395"/>
      <c r="AI18" s="394">
        <f t="shared" ref="AI18" si="68">AVERAGE(AC18,AE18,AG18)</f>
        <v>1</v>
      </c>
      <c r="AJ18" s="394" t="str">
        <f t="shared" ref="AJ18" si="69">IFERROR(AVERAGE(AD18,AF18,AH18),"")</f>
        <v/>
      </c>
      <c r="AK18" s="393">
        <f t="shared" si="56"/>
        <v>1</v>
      </c>
      <c r="AL18" s="395"/>
      <c r="AM18" s="393">
        <f t="shared" si="57"/>
        <v>1</v>
      </c>
      <c r="AN18" s="395"/>
      <c r="AO18" s="393">
        <f t="shared" si="57"/>
        <v>1</v>
      </c>
      <c r="AP18" s="395"/>
      <c r="AQ18" s="394">
        <f t="shared" ref="AQ18" si="70">AVERAGE(AK18,AM18,AO18)</f>
        <v>1</v>
      </c>
      <c r="AR18" s="394" t="str">
        <f t="shared" ref="AR18" si="71">IFERROR(AVERAGE(AL18,AN18,AP18),"")</f>
        <v/>
      </c>
      <c r="AS18" s="393">
        <f t="shared" si="60"/>
        <v>1</v>
      </c>
      <c r="AT18" s="395"/>
      <c r="AU18" s="393">
        <f t="shared" si="61"/>
        <v>1</v>
      </c>
      <c r="AV18" s="395"/>
      <c r="AW18" s="393">
        <f t="shared" si="61"/>
        <v>1</v>
      </c>
      <c r="AX18" s="395"/>
      <c r="AY18" s="394">
        <f t="shared" ref="AY18" si="72">AVERAGE(AS18,AU18,AW18)</f>
        <v>1</v>
      </c>
      <c r="AZ18" s="394" t="str">
        <f>IFERROR(AVERAGE(AT18,AV18,AX18),"")</f>
        <v/>
      </c>
      <c r="BA18" s="396">
        <v>2</v>
      </c>
      <c r="BB18" s="396"/>
      <c r="BC18" s="396">
        <v>2</v>
      </c>
      <c r="BD18" s="396"/>
      <c r="BE18" s="396">
        <v>2</v>
      </c>
      <c r="BF18" s="396"/>
      <c r="BG18" s="397">
        <f>AVERAGE(AA18,AI18,AQ18,AY18)</f>
        <v>1</v>
      </c>
      <c r="BH18" s="397" t="str">
        <f>IFERROR(AVERAGE(AB18,AJ18,AR18,AZ18),"")</f>
        <v/>
      </c>
      <c r="BI18" s="398" t="str">
        <f t="shared" ref="BI18:BI20" si="73">IFERROR(AB18/AA18,"")</f>
        <v/>
      </c>
      <c r="BJ18" s="398" t="str">
        <f t="shared" si="63"/>
        <v/>
      </c>
      <c r="BK18" s="398" t="str">
        <f t="shared" si="64"/>
        <v/>
      </c>
      <c r="BL18" s="398" t="str">
        <f t="shared" si="65"/>
        <v/>
      </c>
      <c r="BM18" s="399" t="str">
        <f t="shared" si="27"/>
        <v/>
      </c>
      <c r="BN18" s="390"/>
      <c r="BO18" s="652" t="e">
        <f>BM18+BM19/2</f>
        <v>#VALUE!</v>
      </c>
    </row>
    <row r="19" spans="1:67" s="435" customFormat="1" ht="63.75" x14ac:dyDescent="0.25">
      <c r="A19" s="646"/>
      <c r="B19" s="646"/>
      <c r="C19" s="408" t="s">
        <v>25</v>
      </c>
      <c r="D19" s="387">
        <v>0.7</v>
      </c>
      <c r="E19" s="389" t="s">
        <v>367</v>
      </c>
      <c r="F19" s="422" t="s">
        <v>370</v>
      </c>
      <c r="G19" s="422" t="s">
        <v>371</v>
      </c>
      <c r="H19" s="422" t="s">
        <v>337</v>
      </c>
      <c r="I19" s="442" t="s">
        <v>368</v>
      </c>
      <c r="J19" s="442" t="s">
        <v>369</v>
      </c>
      <c r="K19" s="421">
        <v>0</v>
      </c>
      <c r="L19" s="421">
        <v>0</v>
      </c>
      <c r="M19" s="424">
        <v>1</v>
      </c>
      <c r="N19" s="424">
        <v>1</v>
      </c>
      <c r="O19" s="424">
        <v>1</v>
      </c>
      <c r="P19" s="425">
        <v>0</v>
      </c>
      <c r="Q19" s="425"/>
      <c r="R19" s="425"/>
      <c r="S19" s="425"/>
      <c r="T19" s="425"/>
      <c r="U19" s="393">
        <f t="shared" si="48"/>
        <v>1</v>
      </c>
      <c r="V19" s="395"/>
      <c r="W19" s="393">
        <f t="shared" si="49"/>
        <v>1</v>
      </c>
      <c r="X19" s="395"/>
      <c r="Y19" s="393">
        <f t="shared" si="49"/>
        <v>1</v>
      </c>
      <c r="Z19" s="395"/>
      <c r="AA19" s="394">
        <f t="shared" ref="AA19" si="74">AVERAGE(U19,W19,Y19)</f>
        <v>1</v>
      </c>
      <c r="AB19" s="394" t="str">
        <f t="shared" ref="AB19" si="75">IFERROR(AVERAGE(V19,X19,Z19),"")</f>
        <v/>
      </c>
      <c r="AC19" s="393">
        <f t="shared" si="52"/>
        <v>1</v>
      </c>
      <c r="AD19" s="395"/>
      <c r="AE19" s="393">
        <f t="shared" si="53"/>
        <v>1</v>
      </c>
      <c r="AF19" s="395"/>
      <c r="AG19" s="393">
        <f t="shared" si="53"/>
        <v>1</v>
      </c>
      <c r="AH19" s="395"/>
      <c r="AI19" s="394">
        <f t="shared" ref="AI19" si="76">AVERAGE(AC19,AE19,AG19)</f>
        <v>1</v>
      </c>
      <c r="AJ19" s="394" t="str">
        <f t="shared" ref="AJ19" si="77">IFERROR(AVERAGE(AD19,AF19,AH19),"")</f>
        <v/>
      </c>
      <c r="AK19" s="393">
        <f t="shared" si="56"/>
        <v>1</v>
      </c>
      <c r="AL19" s="395"/>
      <c r="AM19" s="393">
        <f t="shared" si="57"/>
        <v>1</v>
      </c>
      <c r="AN19" s="395"/>
      <c r="AO19" s="393">
        <f t="shared" si="57"/>
        <v>1</v>
      </c>
      <c r="AP19" s="395"/>
      <c r="AQ19" s="394">
        <f t="shared" ref="AQ19" si="78">AVERAGE(AK19,AM19,AO19)</f>
        <v>1</v>
      </c>
      <c r="AR19" s="394" t="str">
        <f t="shared" ref="AR19" si="79">IFERROR(AVERAGE(AL19,AN19,AP19),"")</f>
        <v/>
      </c>
      <c r="AS19" s="393">
        <f t="shared" si="60"/>
        <v>1</v>
      </c>
      <c r="AT19" s="395"/>
      <c r="AU19" s="393">
        <f t="shared" si="61"/>
        <v>1</v>
      </c>
      <c r="AV19" s="395"/>
      <c r="AW19" s="393">
        <f t="shared" si="61"/>
        <v>1</v>
      </c>
      <c r="AX19" s="395"/>
      <c r="AY19" s="394">
        <f t="shared" ref="AY19" si="80">AVERAGE(AS19,AU19,AW19)</f>
        <v>1</v>
      </c>
      <c r="AZ19" s="394" t="str">
        <f>IFERROR(AVERAGE(AT19,AV19,AX19),"")</f>
        <v/>
      </c>
      <c r="BA19" s="396">
        <v>2</v>
      </c>
      <c r="BB19" s="396"/>
      <c r="BC19" s="396">
        <v>2</v>
      </c>
      <c r="BD19" s="396"/>
      <c r="BE19" s="396">
        <v>2</v>
      </c>
      <c r="BF19" s="396"/>
      <c r="BG19" s="397">
        <f>AVERAGE(AA19,AI19,AQ19,AY19)</f>
        <v>1</v>
      </c>
      <c r="BH19" s="397" t="str">
        <f>IFERROR(AVERAGE(AB19,AJ19,AR19,AZ19),"")</f>
        <v/>
      </c>
      <c r="BI19" s="398" t="str">
        <f t="shared" si="73"/>
        <v/>
      </c>
      <c r="BJ19" s="398" t="str">
        <f t="shared" si="63"/>
        <v/>
      </c>
      <c r="BK19" s="398" t="str">
        <f t="shared" si="64"/>
        <v/>
      </c>
      <c r="BL19" s="398" t="str">
        <f t="shared" si="65"/>
        <v/>
      </c>
      <c r="BM19" s="399" t="str">
        <f t="shared" si="27"/>
        <v/>
      </c>
      <c r="BN19" s="390"/>
      <c r="BO19" s="651"/>
    </row>
    <row r="20" spans="1:67" s="435" customFormat="1" ht="40.5" customHeight="1" x14ac:dyDescent="0.25">
      <c r="A20" s="646" t="s">
        <v>93</v>
      </c>
      <c r="B20" s="646" t="s">
        <v>0</v>
      </c>
      <c r="C20" s="408" t="s">
        <v>404</v>
      </c>
      <c r="D20" s="387">
        <v>0.25</v>
      </c>
      <c r="E20" s="389" t="s">
        <v>405</v>
      </c>
      <c r="F20" s="389" t="s">
        <v>97</v>
      </c>
      <c r="G20" s="389" t="s">
        <v>96</v>
      </c>
      <c r="H20" s="422" t="s">
        <v>337</v>
      </c>
      <c r="I20" s="442" t="s">
        <v>373</v>
      </c>
      <c r="J20" s="389" t="s">
        <v>374</v>
      </c>
      <c r="K20" s="390"/>
      <c r="L20" s="390"/>
      <c r="M20" s="426" t="s">
        <v>375</v>
      </c>
      <c r="N20" s="426" t="s">
        <v>376</v>
      </c>
      <c r="O20" s="427">
        <v>1</v>
      </c>
      <c r="P20" s="426"/>
      <c r="Q20" s="426"/>
      <c r="R20" s="426"/>
      <c r="S20" s="426"/>
      <c r="T20" s="426"/>
      <c r="U20" s="393">
        <f t="shared" si="48"/>
        <v>1</v>
      </c>
      <c r="V20" s="395"/>
      <c r="W20" s="393">
        <f t="shared" si="49"/>
        <v>1</v>
      </c>
      <c r="X20" s="395"/>
      <c r="Y20" s="393">
        <f t="shared" si="49"/>
        <v>1</v>
      </c>
      <c r="Z20" s="395"/>
      <c r="AA20" s="394">
        <f t="shared" ref="AA20" si="81">AVERAGE(U20,W20,Y20)</f>
        <v>1</v>
      </c>
      <c r="AB20" s="394" t="str">
        <f t="shared" ref="AB20" si="82">IFERROR(AVERAGE(V20,X20,Z20),"")</f>
        <v/>
      </c>
      <c r="AC20" s="393">
        <f t="shared" si="52"/>
        <v>1</v>
      </c>
      <c r="AD20" s="395"/>
      <c r="AE20" s="393">
        <f t="shared" si="53"/>
        <v>1</v>
      </c>
      <c r="AF20" s="395"/>
      <c r="AG20" s="393">
        <f t="shared" si="53"/>
        <v>1</v>
      </c>
      <c r="AH20" s="395"/>
      <c r="AI20" s="394">
        <f t="shared" ref="AI20" si="83">AVERAGE(AC20,AE20,AG20)</f>
        <v>1</v>
      </c>
      <c r="AJ20" s="394" t="str">
        <f t="shared" ref="AJ20" si="84">IFERROR(AVERAGE(AD20,AF20,AH20),"")</f>
        <v/>
      </c>
      <c r="AK20" s="393">
        <f t="shared" si="56"/>
        <v>1</v>
      </c>
      <c r="AL20" s="395"/>
      <c r="AM20" s="393">
        <f t="shared" si="57"/>
        <v>1</v>
      </c>
      <c r="AN20" s="395"/>
      <c r="AO20" s="393">
        <f t="shared" si="57"/>
        <v>1</v>
      </c>
      <c r="AP20" s="395"/>
      <c r="AQ20" s="394">
        <f t="shared" ref="AQ20" si="85">AVERAGE(AK20,AM20,AO20)</f>
        <v>1</v>
      </c>
      <c r="AR20" s="394" t="str">
        <f t="shared" ref="AR20" si="86">IFERROR(AVERAGE(AL20,AN20,AP20),"")</f>
        <v/>
      </c>
      <c r="AS20" s="393">
        <f t="shared" si="60"/>
        <v>1</v>
      </c>
      <c r="AT20" s="395"/>
      <c r="AU20" s="393">
        <f t="shared" si="61"/>
        <v>1</v>
      </c>
      <c r="AV20" s="395"/>
      <c r="AW20" s="393">
        <f t="shared" si="61"/>
        <v>1</v>
      </c>
      <c r="AX20" s="395"/>
      <c r="AY20" s="394">
        <f t="shared" ref="AY20" si="87">AVERAGE(AS20,AU20,AW20)</f>
        <v>1</v>
      </c>
      <c r="AZ20" s="394" t="str">
        <f>IFERROR(AVERAGE(AT20,AV20,AX20),"")</f>
        <v/>
      </c>
      <c r="BA20" s="396">
        <v>2</v>
      </c>
      <c r="BB20" s="396"/>
      <c r="BC20" s="396">
        <v>2</v>
      </c>
      <c r="BD20" s="396"/>
      <c r="BE20" s="396">
        <v>2</v>
      </c>
      <c r="BF20" s="396"/>
      <c r="BG20" s="397">
        <f>AVERAGE(AA20,AI20,AQ20,AY20)</f>
        <v>1</v>
      </c>
      <c r="BH20" s="397" t="str">
        <f>IFERROR(AVERAGE(AB20,AJ20,AR20,AZ20),"")</f>
        <v/>
      </c>
      <c r="BI20" s="398" t="str">
        <f t="shared" si="73"/>
        <v/>
      </c>
      <c r="BJ20" s="398" t="str">
        <f t="shared" si="63"/>
        <v/>
      </c>
      <c r="BK20" s="398" t="str">
        <f t="shared" si="64"/>
        <v/>
      </c>
      <c r="BL20" s="398" t="str">
        <f t="shared" si="65"/>
        <v/>
      </c>
      <c r="BM20" s="399" t="str">
        <f t="shared" ref="BM20" si="88">IFERROR(BH20/BG20,"")</f>
        <v/>
      </c>
      <c r="BN20" s="390"/>
      <c r="BO20" s="651">
        <f xml:space="preserve"> AVERAGE(BM20:BM22)</f>
        <v>0</v>
      </c>
    </row>
    <row r="21" spans="1:67" s="435" customFormat="1" ht="81" customHeight="1" x14ac:dyDescent="0.25">
      <c r="A21" s="646"/>
      <c r="B21" s="646"/>
      <c r="C21" s="408" t="s">
        <v>75</v>
      </c>
      <c r="D21" s="387">
        <v>0.25</v>
      </c>
      <c r="E21" s="389" t="s">
        <v>377</v>
      </c>
      <c r="F21" s="389" t="s">
        <v>98</v>
      </c>
      <c r="G21" s="389" t="s">
        <v>99</v>
      </c>
      <c r="H21" s="422" t="s">
        <v>337</v>
      </c>
      <c r="I21" s="442" t="s">
        <v>373</v>
      </c>
      <c r="J21" s="389" t="s">
        <v>378</v>
      </c>
      <c r="K21" s="390">
        <v>0</v>
      </c>
      <c r="L21" s="390">
        <v>0</v>
      </c>
      <c r="M21" s="426">
        <v>3</v>
      </c>
      <c r="N21" s="425">
        <v>1</v>
      </c>
      <c r="O21" s="428">
        <v>6</v>
      </c>
      <c r="P21" s="425">
        <v>0</v>
      </c>
      <c r="Q21" s="425"/>
      <c r="R21" s="425"/>
      <c r="S21" s="425"/>
      <c r="T21" s="425"/>
      <c r="U21" s="390">
        <v>0</v>
      </c>
      <c r="V21" s="390">
        <v>0</v>
      </c>
      <c r="W21" s="390">
        <v>0</v>
      </c>
      <c r="X21" s="390">
        <v>0</v>
      </c>
      <c r="Y21" s="390">
        <v>0</v>
      </c>
      <c r="Z21" s="390">
        <v>0</v>
      </c>
      <c r="AA21" s="417">
        <f t="shared" si="38"/>
        <v>0</v>
      </c>
      <c r="AB21" s="417">
        <f t="shared" si="39"/>
        <v>0</v>
      </c>
      <c r="AC21" s="390">
        <v>2</v>
      </c>
      <c r="AD21" s="390">
        <v>0</v>
      </c>
      <c r="AE21" s="390">
        <v>0</v>
      </c>
      <c r="AF21" s="390"/>
      <c r="AG21" s="390">
        <v>1</v>
      </c>
      <c r="AH21" s="390">
        <v>0</v>
      </c>
      <c r="AI21" s="417">
        <f t="shared" si="40"/>
        <v>3</v>
      </c>
      <c r="AJ21" s="417">
        <f t="shared" si="40"/>
        <v>0</v>
      </c>
      <c r="AK21" s="429">
        <v>0</v>
      </c>
      <c r="AL21" s="429"/>
      <c r="AM21" s="429">
        <v>0</v>
      </c>
      <c r="AN21" s="429"/>
      <c r="AO21" s="429">
        <v>0</v>
      </c>
      <c r="AP21" s="429"/>
      <c r="AQ21" s="417">
        <f t="shared" si="41"/>
        <v>0</v>
      </c>
      <c r="AR21" s="417">
        <f t="shared" si="41"/>
        <v>0</v>
      </c>
      <c r="AS21" s="429">
        <v>1</v>
      </c>
      <c r="AT21" s="429"/>
      <c r="AU21" s="429">
        <v>1</v>
      </c>
      <c r="AV21" s="429"/>
      <c r="AW21" s="429">
        <v>1</v>
      </c>
      <c r="AX21" s="429"/>
      <c r="AY21" s="417">
        <f t="shared" si="42"/>
        <v>3</v>
      </c>
      <c r="AZ21" s="417">
        <f t="shared" si="42"/>
        <v>0</v>
      </c>
      <c r="BA21" s="429">
        <v>2</v>
      </c>
      <c r="BB21" s="429"/>
      <c r="BC21" s="429">
        <v>2</v>
      </c>
      <c r="BD21" s="429"/>
      <c r="BE21" s="429">
        <v>1</v>
      </c>
      <c r="BF21" s="429"/>
      <c r="BG21" s="419">
        <f t="shared" ref="BG21:BH25" si="89">SUM(AA21,AI21,AQ21,AY21)</f>
        <v>6</v>
      </c>
      <c r="BH21" s="419">
        <f t="shared" si="89"/>
        <v>0</v>
      </c>
      <c r="BI21" s="398" t="s">
        <v>421</v>
      </c>
      <c r="BJ21" s="398">
        <f t="shared" si="63"/>
        <v>0</v>
      </c>
      <c r="BK21" s="398">
        <f t="shared" si="64"/>
        <v>0</v>
      </c>
      <c r="BL21" s="398">
        <f t="shared" si="65"/>
        <v>0</v>
      </c>
      <c r="BM21" s="399">
        <f t="shared" si="27"/>
        <v>0</v>
      </c>
      <c r="BN21" s="390"/>
      <c r="BO21" s="651"/>
    </row>
    <row r="22" spans="1:67" s="435" customFormat="1" ht="54" x14ac:dyDescent="0.25">
      <c r="A22" s="646"/>
      <c r="B22" s="646"/>
      <c r="C22" s="408" t="s">
        <v>100</v>
      </c>
      <c r="D22" s="387">
        <v>0.25</v>
      </c>
      <c r="E22" s="389" t="s">
        <v>384</v>
      </c>
      <c r="F22" s="389" t="s">
        <v>101</v>
      </c>
      <c r="G22" s="389" t="s">
        <v>102</v>
      </c>
      <c r="H22" s="422" t="s">
        <v>337</v>
      </c>
      <c r="I22" s="442" t="s">
        <v>373</v>
      </c>
      <c r="J22" s="442" t="s">
        <v>379</v>
      </c>
      <c r="K22" s="390">
        <v>0</v>
      </c>
      <c r="L22" s="390">
        <v>0</v>
      </c>
      <c r="M22" s="426">
        <v>200</v>
      </c>
      <c r="N22" s="425">
        <v>0</v>
      </c>
      <c r="O22" s="428">
        <v>200</v>
      </c>
      <c r="P22" s="425"/>
      <c r="Q22" s="425"/>
      <c r="R22" s="425"/>
      <c r="S22" s="425"/>
      <c r="T22" s="425"/>
      <c r="U22" s="455"/>
      <c r="V22" s="390">
        <v>0</v>
      </c>
      <c r="W22" s="390">
        <v>0</v>
      </c>
      <c r="X22" s="390">
        <v>0</v>
      </c>
      <c r="Y22" s="390">
        <v>0</v>
      </c>
      <c r="Z22" s="390">
        <v>0</v>
      </c>
      <c r="AA22" s="417">
        <f t="shared" si="38"/>
        <v>0</v>
      </c>
      <c r="AB22" s="417">
        <f t="shared" si="39"/>
        <v>0</v>
      </c>
      <c r="AC22" s="390">
        <v>0</v>
      </c>
      <c r="AD22" s="390">
        <v>0</v>
      </c>
      <c r="AE22" s="390">
        <v>0</v>
      </c>
      <c r="AF22" s="390">
        <v>0</v>
      </c>
      <c r="AG22" s="390">
        <v>30</v>
      </c>
      <c r="AH22" s="390">
        <v>0</v>
      </c>
      <c r="AI22" s="417">
        <f>SUM(AC22,AE22,AG22)</f>
        <v>30</v>
      </c>
      <c r="AJ22" s="417">
        <f t="shared" si="40"/>
        <v>0</v>
      </c>
      <c r="AK22" s="390">
        <v>30</v>
      </c>
      <c r="AL22" s="390"/>
      <c r="AM22" s="390">
        <v>35</v>
      </c>
      <c r="AN22" s="390"/>
      <c r="AO22" s="390">
        <v>35</v>
      </c>
      <c r="AP22" s="390"/>
      <c r="AQ22" s="417">
        <f>SUM(AK22,AM22,AO22)</f>
        <v>100</v>
      </c>
      <c r="AR22" s="417">
        <f t="shared" si="41"/>
        <v>0</v>
      </c>
      <c r="AS22" s="390">
        <v>30</v>
      </c>
      <c r="AT22" s="390"/>
      <c r="AU22" s="390">
        <v>30</v>
      </c>
      <c r="AV22" s="390"/>
      <c r="AW22" s="390">
        <v>10</v>
      </c>
      <c r="AX22" s="390"/>
      <c r="AY22" s="417">
        <f t="shared" si="42"/>
        <v>70</v>
      </c>
      <c r="AZ22" s="417">
        <f t="shared" si="42"/>
        <v>0</v>
      </c>
      <c r="BA22" s="429">
        <v>200</v>
      </c>
      <c r="BB22" s="429"/>
      <c r="BC22" s="429">
        <v>200</v>
      </c>
      <c r="BD22" s="429"/>
      <c r="BE22" s="429">
        <v>0</v>
      </c>
      <c r="BF22" s="429"/>
      <c r="BG22" s="419">
        <f t="shared" si="89"/>
        <v>200</v>
      </c>
      <c r="BH22" s="419">
        <f t="shared" si="89"/>
        <v>0</v>
      </c>
      <c r="BI22" s="398" t="s">
        <v>421</v>
      </c>
      <c r="BJ22" s="398">
        <f t="shared" si="45"/>
        <v>0</v>
      </c>
      <c r="BK22" s="398">
        <f t="shared" si="46"/>
        <v>0</v>
      </c>
      <c r="BL22" s="398">
        <f t="shared" si="47"/>
        <v>0</v>
      </c>
      <c r="BM22" s="399">
        <f t="shared" si="27"/>
        <v>0</v>
      </c>
      <c r="BN22" s="390"/>
      <c r="BO22" s="651"/>
    </row>
    <row r="23" spans="1:67" s="435" customFormat="1" ht="54" x14ac:dyDescent="0.25">
      <c r="A23" s="646"/>
      <c r="B23" s="646"/>
      <c r="C23" s="408" t="s">
        <v>380</v>
      </c>
      <c r="D23" s="387">
        <v>0.25</v>
      </c>
      <c r="E23" s="389" t="s">
        <v>381</v>
      </c>
      <c r="F23" s="389" t="s">
        <v>382</v>
      </c>
      <c r="G23" s="389" t="s">
        <v>383</v>
      </c>
      <c r="H23" s="422" t="s">
        <v>337</v>
      </c>
      <c r="I23" s="442" t="s">
        <v>373</v>
      </c>
      <c r="J23" s="442" t="s">
        <v>385</v>
      </c>
      <c r="K23" s="390">
        <v>20</v>
      </c>
      <c r="L23" s="390">
        <v>40</v>
      </c>
      <c r="M23" s="426">
        <v>35</v>
      </c>
      <c r="N23" s="426">
        <v>35</v>
      </c>
      <c r="O23" s="426">
        <v>50</v>
      </c>
      <c r="P23" s="426"/>
      <c r="Q23" s="426"/>
      <c r="R23" s="426"/>
      <c r="S23" s="426"/>
      <c r="T23" s="426"/>
      <c r="U23" s="390">
        <v>1</v>
      </c>
      <c r="V23" s="390"/>
      <c r="W23" s="390">
        <v>1</v>
      </c>
      <c r="X23" s="390"/>
      <c r="Y23" s="390">
        <v>1</v>
      </c>
      <c r="Z23" s="390"/>
      <c r="AA23" s="417">
        <f t="shared" ref="AA23:AB24" si="90">SUM(U23,W23,Y23)</f>
        <v>3</v>
      </c>
      <c r="AB23" s="417">
        <f t="shared" ref="AB23" si="91">SUM(V23,X23,Z23)</f>
        <v>0</v>
      </c>
      <c r="AC23" s="390">
        <v>1</v>
      </c>
      <c r="AD23" s="390"/>
      <c r="AE23" s="390">
        <v>4</v>
      </c>
      <c r="AF23" s="390"/>
      <c r="AG23" s="390">
        <v>3</v>
      </c>
      <c r="AH23" s="390"/>
      <c r="AI23" s="417">
        <f>SUM(AC23,AE23,AG23)</f>
        <v>8</v>
      </c>
      <c r="AJ23" s="417">
        <f t="shared" si="40"/>
        <v>0</v>
      </c>
      <c r="AK23" s="390">
        <v>5</v>
      </c>
      <c r="AL23" s="390"/>
      <c r="AM23" s="390">
        <v>6</v>
      </c>
      <c r="AN23" s="390"/>
      <c r="AO23" s="390">
        <v>4</v>
      </c>
      <c r="AP23" s="390"/>
      <c r="AQ23" s="417">
        <f>SUM(AK23,AM23,AO23)</f>
        <v>15</v>
      </c>
      <c r="AR23" s="417">
        <f t="shared" ref="AR23" si="92">SUM(AL23,AN23,AP23)</f>
        <v>0</v>
      </c>
      <c r="AS23" s="390">
        <v>2</v>
      </c>
      <c r="AT23" s="390"/>
      <c r="AU23" s="390">
        <v>5</v>
      </c>
      <c r="AV23" s="390"/>
      <c r="AW23" s="390">
        <v>17</v>
      </c>
      <c r="AX23" s="390"/>
      <c r="AY23" s="417">
        <f>SUM(AS23,AU23,AW23)</f>
        <v>24</v>
      </c>
      <c r="AZ23" s="417">
        <f t="shared" si="42"/>
        <v>0</v>
      </c>
      <c r="BA23" s="429">
        <v>35</v>
      </c>
      <c r="BB23" s="429">
        <v>35</v>
      </c>
      <c r="BC23" s="429">
        <v>0.55600000000000005</v>
      </c>
      <c r="BD23" s="429">
        <v>0.57899999999999996</v>
      </c>
      <c r="BE23" s="429">
        <v>0.86399999999999999</v>
      </c>
      <c r="BF23" s="429">
        <v>1</v>
      </c>
      <c r="BG23" s="419">
        <f t="shared" si="89"/>
        <v>50</v>
      </c>
      <c r="BH23" s="419">
        <f t="shared" si="89"/>
        <v>0</v>
      </c>
      <c r="BI23" s="398">
        <f t="shared" ref="BI23" si="93">IFERROR(AB23/AA23,"")</f>
        <v>0</v>
      </c>
      <c r="BJ23" s="398">
        <f t="shared" ref="BJ23" si="94">IFERROR((AB23+AJ23)/(AA23+AI23),"")</f>
        <v>0</v>
      </c>
      <c r="BK23" s="398">
        <f t="shared" ref="BK23" si="95">IFERROR((AB23+AJ23+AR23)/(AA23+AI23+AQ23),"")</f>
        <v>0</v>
      </c>
      <c r="BL23" s="398">
        <f t="shared" ref="BL23" si="96">IFERROR((AB23+AJ23+AR23+AZ23)/(AA23+AI23+AQ23+AY23),"")</f>
        <v>0</v>
      </c>
      <c r="BM23" s="399">
        <f t="shared" ref="BM23" si="97">IFERROR(BH23/BG23,"")</f>
        <v>0</v>
      </c>
      <c r="BN23" s="390"/>
      <c r="BO23" s="430"/>
    </row>
    <row r="24" spans="1:67" s="435" customFormat="1" ht="204" x14ac:dyDescent="0.25">
      <c r="A24" s="408" t="s">
        <v>176</v>
      </c>
      <c r="B24" s="408" t="s">
        <v>175</v>
      </c>
      <c r="C24" s="408" t="s">
        <v>397</v>
      </c>
      <c r="D24" s="387">
        <v>1</v>
      </c>
      <c r="E24" s="431" t="s">
        <v>412</v>
      </c>
      <c r="F24" s="388" t="s">
        <v>309</v>
      </c>
      <c r="G24" s="388" t="s">
        <v>310</v>
      </c>
      <c r="H24" s="422" t="s">
        <v>337</v>
      </c>
      <c r="I24" s="408" t="s">
        <v>176</v>
      </c>
      <c r="J24" s="442" t="s">
        <v>398</v>
      </c>
      <c r="K24" s="456"/>
      <c r="L24" s="456"/>
      <c r="M24" s="425">
        <v>17</v>
      </c>
      <c r="N24" s="425">
        <v>19</v>
      </c>
      <c r="O24" s="425">
        <v>6</v>
      </c>
      <c r="P24" s="425"/>
      <c r="Q24" s="432">
        <v>6</v>
      </c>
      <c r="R24" s="432"/>
      <c r="S24" s="432">
        <v>6</v>
      </c>
      <c r="T24" s="432"/>
      <c r="U24" s="459">
        <v>1</v>
      </c>
      <c r="V24" s="460"/>
      <c r="W24" s="459">
        <v>1</v>
      </c>
      <c r="X24" s="460"/>
      <c r="Y24" s="459">
        <v>1</v>
      </c>
      <c r="Z24" s="460"/>
      <c r="AA24" s="417">
        <f t="shared" si="90"/>
        <v>3</v>
      </c>
      <c r="AB24" s="417">
        <f t="shared" si="90"/>
        <v>0</v>
      </c>
      <c r="AC24" s="459">
        <v>2</v>
      </c>
      <c r="AD24" s="460"/>
      <c r="AE24" s="459">
        <v>0</v>
      </c>
      <c r="AF24" s="460"/>
      <c r="AG24" s="461">
        <v>1</v>
      </c>
      <c r="AH24" s="462"/>
      <c r="AI24" s="417">
        <f t="shared" ref="AI24:AJ24" si="98">SUM(AC24,AE24,AG24)</f>
        <v>3</v>
      </c>
      <c r="AJ24" s="417">
        <f t="shared" si="98"/>
        <v>0</v>
      </c>
      <c r="AK24" s="461">
        <v>1</v>
      </c>
      <c r="AL24" s="463"/>
      <c r="AM24" s="461">
        <v>2</v>
      </c>
      <c r="AN24" s="463"/>
      <c r="AO24" s="461">
        <v>2</v>
      </c>
      <c r="AP24" s="464"/>
      <c r="AQ24" s="417">
        <f t="shared" ref="AQ24:AR24" si="99">SUM(AK24,AM24,AO24)</f>
        <v>5</v>
      </c>
      <c r="AR24" s="417">
        <f t="shared" si="99"/>
        <v>0</v>
      </c>
      <c r="AS24" s="461">
        <v>2</v>
      </c>
      <c r="AT24" s="463"/>
      <c r="AU24" s="461">
        <v>2</v>
      </c>
      <c r="AV24" s="463"/>
      <c r="AW24" s="461">
        <v>2</v>
      </c>
      <c r="AX24" s="463"/>
      <c r="AY24" s="417">
        <f t="shared" ref="AY24:AZ24" si="100">SUM(AS24,AU24,AW24)</f>
        <v>6</v>
      </c>
      <c r="AZ24" s="417">
        <f t="shared" si="100"/>
        <v>0</v>
      </c>
      <c r="BA24" s="465">
        <f t="shared" ref="BA24:BB24" si="101">SUM(AA24,AI24,AQ24,AY24)</f>
        <v>17</v>
      </c>
      <c r="BB24" s="465">
        <f t="shared" si="101"/>
        <v>0</v>
      </c>
      <c r="BC24" s="466">
        <f t="shared" ref="BC24" si="102">IFERROR(AB24/AA24,"")</f>
        <v>0</v>
      </c>
      <c r="BD24" s="466">
        <f t="shared" ref="BD24" si="103">IFERROR((AB24+AJ24)/(AA24+AI24),"")</f>
        <v>0</v>
      </c>
      <c r="BE24" s="467">
        <f t="shared" ref="BE24" si="104">IFERROR((AB24+AJ24+AR24)/(AA24+AI24+AQ24),"")</f>
        <v>0</v>
      </c>
      <c r="BF24" s="467">
        <f>IFERROR((AB24+AJ24+AR24+AZ24)/(AA24+AI24+AQ24+AY24),"")</f>
        <v>0</v>
      </c>
      <c r="BG24" s="419">
        <f t="shared" ref="BG24" si="105">SUM(AA24,AI24,AQ24,AY24)</f>
        <v>17</v>
      </c>
      <c r="BH24" s="419">
        <f t="shared" ref="BH24" si="106">SUM(AB24,AJ24,AR24,AZ24)</f>
        <v>0</v>
      </c>
      <c r="BI24" s="398">
        <f t="shared" ref="BI24" si="107">IFERROR(AB24/AA24,"")</f>
        <v>0</v>
      </c>
      <c r="BJ24" s="398">
        <f t="shared" ref="BJ24" si="108">IFERROR((AB24+AJ24)/(AA24+AI24),"")</f>
        <v>0</v>
      </c>
      <c r="BK24" s="398">
        <f t="shared" ref="BK24" si="109">IFERROR((AB24+AJ24+AR24)/(AA24+AI24+AQ24),"")</f>
        <v>0</v>
      </c>
      <c r="BL24" s="398">
        <f t="shared" ref="BL24" si="110">IFERROR((AB24+AJ24+AR24+AZ24)/(AA24+AI24+AQ24+AY24),"")</f>
        <v>0</v>
      </c>
      <c r="BM24" s="399">
        <f t="shared" ref="BM24" si="111">IFERROR(BH24/BG24,"")</f>
        <v>0</v>
      </c>
      <c r="BN24" s="390"/>
      <c r="BO24" s="433">
        <f xml:space="preserve"> BM24</f>
        <v>0</v>
      </c>
    </row>
    <row r="25" spans="1:67" s="435" customFormat="1" ht="191.25" x14ac:dyDescent="0.25">
      <c r="A25" s="408" t="s">
        <v>387</v>
      </c>
      <c r="B25" s="408" t="s">
        <v>76</v>
      </c>
      <c r="C25" s="408" t="s">
        <v>77</v>
      </c>
      <c r="D25" s="387">
        <v>1</v>
      </c>
      <c r="E25" s="389" t="s">
        <v>403</v>
      </c>
      <c r="F25" s="388" t="s">
        <v>386</v>
      </c>
      <c r="G25" s="388" t="s">
        <v>74</v>
      </c>
      <c r="H25" s="422" t="s">
        <v>337</v>
      </c>
      <c r="I25" s="388" t="s">
        <v>388</v>
      </c>
      <c r="J25" s="388" t="s">
        <v>396</v>
      </c>
      <c r="K25" s="388"/>
      <c r="L25" s="388"/>
      <c r="M25" s="444">
        <v>1</v>
      </c>
      <c r="N25" s="444">
        <v>1</v>
      </c>
      <c r="O25" s="444">
        <v>1</v>
      </c>
      <c r="P25" s="443">
        <v>0</v>
      </c>
      <c r="Q25" s="444">
        <v>1</v>
      </c>
      <c r="R25" s="443"/>
      <c r="S25" s="444">
        <v>1</v>
      </c>
      <c r="T25" s="443"/>
      <c r="U25" s="447">
        <v>0</v>
      </c>
      <c r="V25" s="447">
        <v>0</v>
      </c>
      <c r="W25" s="447">
        <v>0</v>
      </c>
      <c r="X25" s="447">
        <v>0</v>
      </c>
      <c r="Y25" s="447">
        <v>0</v>
      </c>
      <c r="Z25" s="447">
        <v>0</v>
      </c>
      <c r="AA25" s="448">
        <f t="shared" si="38"/>
        <v>0</v>
      </c>
      <c r="AB25" s="448">
        <f t="shared" si="39"/>
        <v>0</v>
      </c>
      <c r="AC25" s="431">
        <v>0</v>
      </c>
      <c r="AD25" s="431">
        <v>0</v>
      </c>
      <c r="AE25" s="431">
        <v>0</v>
      </c>
      <c r="AF25" s="431">
        <v>0</v>
      </c>
      <c r="AG25" s="431">
        <v>0.5</v>
      </c>
      <c r="AH25" s="431">
        <v>0</v>
      </c>
      <c r="AI25" s="436">
        <f>SUM(AC25,AE25,AG25)</f>
        <v>0.5</v>
      </c>
      <c r="AJ25" s="436">
        <f t="shared" si="40"/>
        <v>0</v>
      </c>
      <c r="AK25" s="431">
        <v>0</v>
      </c>
      <c r="AL25" s="431"/>
      <c r="AM25" s="431">
        <v>0</v>
      </c>
      <c r="AN25" s="431"/>
      <c r="AO25" s="431">
        <v>0</v>
      </c>
      <c r="AP25" s="431"/>
      <c r="AQ25" s="436">
        <f t="shared" si="41"/>
        <v>0</v>
      </c>
      <c r="AR25" s="436">
        <f t="shared" si="41"/>
        <v>0</v>
      </c>
      <c r="AS25" s="431">
        <v>0</v>
      </c>
      <c r="AT25" s="431"/>
      <c r="AU25" s="431">
        <v>0</v>
      </c>
      <c r="AV25" s="431"/>
      <c r="AW25" s="431">
        <v>0.5</v>
      </c>
      <c r="AX25" s="431"/>
      <c r="AY25" s="436">
        <f t="shared" si="42"/>
        <v>0.5</v>
      </c>
      <c r="AZ25" s="436">
        <f t="shared" si="42"/>
        <v>0</v>
      </c>
      <c r="BA25" s="449"/>
      <c r="BB25" s="449"/>
      <c r="BC25" s="449">
        <v>1</v>
      </c>
      <c r="BD25" s="449"/>
      <c r="BE25" s="449">
        <v>1</v>
      </c>
      <c r="BF25" s="449"/>
      <c r="BG25" s="438">
        <f t="shared" si="89"/>
        <v>1</v>
      </c>
      <c r="BH25" s="438">
        <f t="shared" ref="BH25" si="112">AVERAGE(AB25,AJ25,AR25,AZ25)</f>
        <v>0</v>
      </c>
      <c r="BI25" s="439" t="str">
        <f t="shared" si="44"/>
        <v/>
      </c>
      <c r="BJ25" s="439"/>
      <c r="BK25" s="439"/>
      <c r="BL25" s="439">
        <f t="shared" ref="BL25" si="113">IFERROR((AB25+AJ25+AR25+AZ25)/(AA25+AI25+AQ25+AY25),"")</f>
        <v>0</v>
      </c>
      <c r="BM25" s="440">
        <f t="shared" si="27"/>
        <v>0</v>
      </c>
      <c r="BN25" s="389"/>
      <c r="BO25" s="445">
        <v>0</v>
      </c>
    </row>
    <row r="26" spans="1:67" s="435" customFormat="1" ht="89.25" x14ac:dyDescent="0.25">
      <c r="A26" s="408" t="s">
        <v>45</v>
      </c>
      <c r="B26" s="408" t="s">
        <v>1</v>
      </c>
      <c r="C26" s="408" t="s">
        <v>30</v>
      </c>
      <c r="D26" s="387">
        <v>1</v>
      </c>
      <c r="E26" s="389" t="s">
        <v>187</v>
      </c>
      <c r="F26" s="388" t="s">
        <v>71</v>
      </c>
      <c r="G26" s="388" t="s">
        <v>72</v>
      </c>
      <c r="H26" s="388" t="s">
        <v>389</v>
      </c>
      <c r="I26" s="388" t="s">
        <v>390</v>
      </c>
      <c r="J26" s="388" t="s">
        <v>391</v>
      </c>
      <c r="K26" s="388"/>
      <c r="L26" s="388"/>
      <c r="M26" s="431">
        <v>1</v>
      </c>
      <c r="N26" s="431">
        <v>1</v>
      </c>
      <c r="O26" s="431">
        <v>1</v>
      </c>
      <c r="P26" s="431"/>
      <c r="Q26" s="444">
        <v>1</v>
      </c>
      <c r="R26" s="431"/>
      <c r="S26" s="444">
        <v>1</v>
      </c>
      <c r="T26" s="431"/>
      <c r="U26" s="437">
        <f>1/12</f>
        <v>8.3333333333333329E-2</v>
      </c>
      <c r="V26" s="437"/>
      <c r="W26" s="437">
        <f t="shared" ref="W26:Y26" si="114">1/12</f>
        <v>8.3333333333333329E-2</v>
      </c>
      <c r="X26" s="437"/>
      <c r="Y26" s="437">
        <f t="shared" si="114"/>
        <v>8.3333333333333329E-2</v>
      </c>
      <c r="Z26" s="437"/>
      <c r="AA26" s="436">
        <f t="shared" si="38"/>
        <v>0.25</v>
      </c>
      <c r="AB26" s="436">
        <f t="shared" si="38"/>
        <v>0</v>
      </c>
      <c r="AC26" s="437">
        <f>1/12</f>
        <v>8.3333333333333329E-2</v>
      </c>
      <c r="AD26" s="437"/>
      <c r="AE26" s="437">
        <f t="shared" ref="AE26:AG26" si="115">1/12</f>
        <v>8.3333333333333329E-2</v>
      </c>
      <c r="AF26" s="437"/>
      <c r="AG26" s="437">
        <f t="shared" si="115"/>
        <v>8.3333333333333329E-2</v>
      </c>
      <c r="AH26" s="437"/>
      <c r="AI26" s="436">
        <f t="shared" si="40"/>
        <v>0.25</v>
      </c>
      <c r="AJ26" s="436">
        <f t="shared" si="40"/>
        <v>0</v>
      </c>
      <c r="AK26" s="437">
        <f>1/12</f>
        <v>8.3333333333333329E-2</v>
      </c>
      <c r="AL26" s="444"/>
      <c r="AM26" s="437">
        <f>1/12</f>
        <v>8.3333333333333329E-2</v>
      </c>
      <c r="AN26" s="444"/>
      <c r="AO26" s="437">
        <f>1/12</f>
        <v>8.3333333333333329E-2</v>
      </c>
      <c r="AP26" s="444"/>
      <c r="AQ26" s="436">
        <f t="shared" si="41"/>
        <v>0.25</v>
      </c>
      <c r="AR26" s="436">
        <f t="shared" si="41"/>
        <v>0</v>
      </c>
      <c r="AS26" s="437">
        <f>1/12</f>
        <v>8.3333333333333329E-2</v>
      </c>
      <c r="AT26" s="450"/>
      <c r="AU26" s="437">
        <f>1/12</f>
        <v>8.3333333333333329E-2</v>
      </c>
      <c r="AV26" s="450"/>
      <c r="AW26" s="437">
        <f>1/12</f>
        <v>8.3333333333333329E-2</v>
      </c>
      <c r="AX26" s="450"/>
      <c r="AY26" s="436">
        <f t="shared" si="42"/>
        <v>0.25</v>
      </c>
      <c r="AZ26" s="436">
        <f t="shared" si="42"/>
        <v>0</v>
      </c>
      <c r="BA26" s="431">
        <v>100</v>
      </c>
      <c r="BB26" s="431"/>
      <c r="BC26" s="431">
        <v>100</v>
      </c>
      <c r="BD26" s="431"/>
      <c r="BE26" s="431">
        <v>100</v>
      </c>
      <c r="BF26" s="431"/>
      <c r="BG26" s="438">
        <f t="shared" ref="BG26" si="116">SUM(AA26,AI26,AQ26,AY26)</f>
        <v>1</v>
      </c>
      <c r="BH26" s="438">
        <f t="shared" si="43"/>
        <v>0</v>
      </c>
      <c r="BI26" s="439">
        <f t="shared" si="44"/>
        <v>0</v>
      </c>
      <c r="BJ26" s="439">
        <f t="shared" si="45"/>
        <v>0</v>
      </c>
      <c r="BK26" s="439">
        <f t="shared" si="46"/>
        <v>0</v>
      </c>
      <c r="BL26" s="439">
        <f t="shared" si="47"/>
        <v>0</v>
      </c>
      <c r="BM26" s="446">
        <f t="shared" si="27"/>
        <v>0</v>
      </c>
      <c r="BN26" s="389"/>
      <c r="BO26" s="451">
        <f>BM26</f>
        <v>0</v>
      </c>
    </row>
  </sheetData>
  <mergeCells count="57">
    <mergeCell ref="A1:B3"/>
    <mergeCell ref="C1:BN3"/>
    <mergeCell ref="A4:A6"/>
    <mergeCell ref="B4:B6"/>
    <mergeCell ref="C4:C6"/>
    <mergeCell ref="D4:D6"/>
    <mergeCell ref="E4:E6"/>
    <mergeCell ref="F4:F6"/>
    <mergeCell ref="G4:G6"/>
    <mergeCell ref="M4:N5"/>
    <mergeCell ref="BN4:BN6"/>
    <mergeCell ref="BC5:BD5"/>
    <mergeCell ref="BE5:BF5"/>
    <mergeCell ref="AO5:AP5"/>
    <mergeCell ref="AQ5:AR5"/>
    <mergeCell ref="AS5:AT5"/>
    <mergeCell ref="BO4:BO6"/>
    <mergeCell ref="U5:V5"/>
    <mergeCell ref="W5:X5"/>
    <mergeCell ref="Y5:Z5"/>
    <mergeCell ref="AA5:AB5"/>
    <mergeCell ref="AM5:AN5"/>
    <mergeCell ref="BI4:BL5"/>
    <mergeCell ref="BM4:BM6"/>
    <mergeCell ref="AC5:AD5"/>
    <mergeCell ref="AE5:AF5"/>
    <mergeCell ref="AG5:AH5"/>
    <mergeCell ref="AI5:AJ5"/>
    <mergeCell ref="AK5:AL5"/>
    <mergeCell ref="BA5:BB5"/>
    <mergeCell ref="AU5:AV5"/>
    <mergeCell ref="AW5:AX5"/>
    <mergeCell ref="AY5:AZ5"/>
    <mergeCell ref="B8:B15"/>
    <mergeCell ref="K4:L5"/>
    <mergeCell ref="O4:P5"/>
    <mergeCell ref="H4:H6"/>
    <mergeCell ref="I4:I6"/>
    <mergeCell ref="U4:BH4"/>
    <mergeCell ref="BG5:BH5"/>
    <mergeCell ref="O13:P13"/>
    <mergeCell ref="O10:P10"/>
    <mergeCell ref="J4:J6"/>
    <mergeCell ref="C8:C9"/>
    <mergeCell ref="C11:C13"/>
    <mergeCell ref="S4:T5"/>
    <mergeCell ref="Q4:R5"/>
    <mergeCell ref="A8:A15"/>
    <mergeCell ref="BO20:BO22"/>
    <mergeCell ref="A16:A17"/>
    <mergeCell ref="B16:B17"/>
    <mergeCell ref="BO16:BO17"/>
    <mergeCell ref="A18:A19"/>
    <mergeCell ref="B18:B19"/>
    <mergeCell ref="BO18:BO19"/>
    <mergeCell ref="A20:A23"/>
    <mergeCell ref="B20:B23"/>
  </mergeCells>
  <conditionalFormatting sqref="BM13:BM26">
    <cfRule type="cellIs" dxfId="29" priority="22" operator="between">
      <formula>0.75</formula>
      <formula>0.85</formula>
    </cfRule>
    <cfRule type="cellIs" dxfId="28" priority="23" operator="greaterThan">
      <formula>0.85</formula>
    </cfRule>
    <cfRule type="cellIs" dxfId="27" priority="24" operator="lessThan">
      <formula>0.75</formula>
    </cfRule>
  </conditionalFormatting>
  <conditionalFormatting sqref="BM12">
    <cfRule type="cellIs" dxfId="26" priority="16" operator="between">
      <formula>0.75</formula>
      <formula>0.85</formula>
    </cfRule>
    <cfRule type="cellIs" dxfId="25" priority="17" operator="greaterThan">
      <formula>0.85</formula>
    </cfRule>
    <cfRule type="cellIs" dxfId="24" priority="18" operator="lessThan">
      <formula>0.75</formula>
    </cfRule>
  </conditionalFormatting>
  <conditionalFormatting sqref="BM10">
    <cfRule type="cellIs" dxfId="23" priority="13" operator="between">
      <formula>0.75</formula>
      <formula>0.85</formula>
    </cfRule>
    <cfRule type="cellIs" dxfId="22" priority="14" operator="greaterThan">
      <formula>0.85</formula>
    </cfRule>
    <cfRule type="cellIs" dxfId="21" priority="15" operator="lessThan">
      <formula>0.75</formula>
    </cfRule>
  </conditionalFormatting>
  <conditionalFormatting sqref="BM11">
    <cfRule type="cellIs" dxfId="20" priority="10" operator="between">
      <formula>0.75</formula>
      <formula>0.85</formula>
    </cfRule>
    <cfRule type="cellIs" dxfId="19" priority="11" operator="greaterThan">
      <formula>0.85</formula>
    </cfRule>
    <cfRule type="cellIs" dxfId="18" priority="12" operator="lessThan">
      <formula>0.75</formula>
    </cfRule>
  </conditionalFormatting>
  <conditionalFormatting sqref="BM9">
    <cfRule type="cellIs" dxfId="17" priority="7" operator="between">
      <formula>0.75</formula>
      <formula>0.85</formula>
    </cfRule>
    <cfRule type="cellIs" dxfId="16" priority="8" operator="greaterThan">
      <formula>0.85</formula>
    </cfRule>
    <cfRule type="cellIs" dxfId="15" priority="9" operator="lessThan">
      <formula>0.75</formula>
    </cfRule>
  </conditionalFormatting>
  <conditionalFormatting sqref="BM8">
    <cfRule type="cellIs" dxfId="14" priority="4" operator="between">
      <formula>0.75</formula>
      <formula>0.85</formula>
    </cfRule>
    <cfRule type="cellIs" dxfId="13" priority="5" operator="greaterThan">
      <formula>0.85</formula>
    </cfRule>
    <cfRule type="cellIs" dxfId="12" priority="6" operator="lessThan">
      <formula>0.75</formula>
    </cfRule>
  </conditionalFormatting>
  <conditionalFormatting sqref="BM7">
    <cfRule type="cellIs" dxfId="11" priority="1" operator="between">
      <formula>0.75</formula>
      <formula>0.85</formula>
    </cfRule>
    <cfRule type="cellIs" dxfId="10" priority="2" operator="greaterThan">
      <formula>0.85</formula>
    </cfRule>
    <cfRule type="cellIs" dxfId="9" priority="3" operator="lessThan">
      <formula>0.75</formula>
    </cfRule>
  </conditionalFormatting>
  <dataValidations count="4">
    <dataValidation allowBlank="1" showInputMessage="1" showErrorMessage="1" promptTitle="Actividades" prompt="Registre las actividades macro que se requieren realizar para lograr la meta" sqref="BA26:BF26 F18:F19 F7:G7 F26:P26 R26 T26" xr:uid="{B62AD8A6-2883-4D46-9D1D-316025E43440}"/>
    <dataValidation allowBlank="1" showInputMessage="1" showErrorMessage="1" prompt="Registre las actividades macro que se requieren para cumplir las metas" sqref="BA25:BF25 BA8:BF8 F12:G14 F10:G10 F25:G25 I25:T25 Q26 S26" xr:uid="{79D81EAE-DF84-43BE-9980-E849F43E8C76}"/>
    <dataValidation allowBlank="1" showInputMessage="1" showErrorMessage="1" prompt="Registre el o los productos o entregables que servirán de evidencia  " sqref="G12:G14 G10 K19:L19" xr:uid="{1AC57910-777D-45A0-93DE-277D9762AAF3}"/>
    <dataValidation allowBlank="1" showInputMessage="1" showErrorMessage="1" promptTitle="Producto" prompt="Describa el resultado de lo que se espera alcanzar cuando se cumpla la meta" sqref="G26:L26 G18:G19 G7" xr:uid="{556E2600-28CB-469D-952D-A5010DC22176}"/>
  </dataValidations>
  <pageMargins left="0.7" right="0.7" top="0.75" bottom="0.75" header="0.3" footer="0.3"/>
  <pageSetup paperSize="9" orientation="portrait" r:id="rId1"/>
  <ignoredErrors>
    <ignoredError sqref="AA9:AB9 AI9:AJ9 BG9:BH9 U17 Y17" unlockedFormula="1"/>
    <ignoredError sqref="AA17:AB17" formula="1" unlockedFormula="1"/>
    <ignoredError sqref="AI17:AJ17 AQ17:AR17 AY1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1"/>
  <sheetViews>
    <sheetView workbookViewId="0">
      <selection sqref="A1:AM1"/>
    </sheetView>
  </sheetViews>
  <sheetFormatPr baseColWidth="10" defaultRowHeight="15" x14ac:dyDescent="0.25"/>
  <sheetData>
    <row r="1" spans="1:39" x14ac:dyDescent="0.25">
      <c r="A1" t="s">
        <v>165</v>
      </c>
      <c r="B1" t="s">
        <v>165</v>
      </c>
      <c r="C1" t="s">
        <v>165</v>
      </c>
      <c r="D1" t="s">
        <v>165</v>
      </c>
      <c r="E1" t="s">
        <v>165</v>
      </c>
      <c r="F1" t="s">
        <v>165</v>
      </c>
      <c r="G1" t="s">
        <v>165</v>
      </c>
      <c r="H1" t="s">
        <v>165</v>
      </c>
      <c r="I1" t="s">
        <v>165</v>
      </c>
      <c r="J1" t="s">
        <v>165</v>
      </c>
      <c r="M1" t="s">
        <v>165</v>
      </c>
      <c r="N1" t="s">
        <v>166</v>
      </c>
      <c r="O1" t="s">
        <v>165</v>
      </c>
      <c r="P1" t="s">
        <v>167</v>
      </c>
      <c r="Q1" t="s">
        <v>165</v>
      </c>
      <c r="R1" t="s">
        <v>168</v>
      </c>
      <c r="S1" t="s">
        <v>165</v>
      </c>
      <c r="T1" t="s">
        <v>168</v>
      </c>
      <c r="U1" t="s">
        <v>165</v>
      </c>
      <c r="V1" t="s">
        <v>168</v>
      </c>
      <c r="W1" t="s">
        <v>165</v>
      </c>
      <c r="X1" t="s">
        <v>168</v>
      </c>
      <c r="Y1" t="s">
        <v>165</v>
      </c>
      <c r="Z1" t="s">
        <v>168</v>
      </c>
      <c r="AA1" t="s">
        <v>165</v>
      </c>
      <c r="AB1" t="s">
        <v>168</v>
      </c>
      <c r="AC1" t="s">
        <v>165</v>
      </c>
      <c r="AD1" t="s">
        <v>168</v>
      </c>
      <c r="AE1" t="s">
        <v>165</v>
      </c>
      <c r="AF1" t="s">
        <v>168</v>
      </c>
      <c r="AG1" t="s">
        <v>165</v>
      </c>
      <c r="AH1" t="s">
        <v>169</v>
      </c>
      <c r="AI1" t="s">
        <v>170</v>
      </c>
      <c r="AJ1" t="s">
        <v>171</v>
      </c>
      <c r="AK1" t="s">
        <v>172</v>
      </c>
      <c r="AL1" t="s">
        <v>173</v>
      </c>
      <c r="AM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D3"/>
  <sheetViews>
    <sheetView topLeftCell="A10" workbookViewId="0">
      <selection activeCell="A2" sqref="A2"/>
    </sheetView>
  </sheetViews>
  <sheetFormatPr baseColWidth="10" defaultRowHeight="15" x14ac:dyDescent="0.25"/>
  <sheetData>
    <row r="2" spans="1:56" s="1" customFormat="1" ht="342" x14ac:dyDescent="0.25">
      <c r="A2"/>
      <c r="B2"/>
      <c r="C2" s="136" t="s">
        <v>28</v>
      </c>
      <c r="D2" s="137">
        <v>0.3</v>
      </c>
      <c r="E2" s="138" t="s">
        <v>42</v>
      </c>
      <c r="F2" s="13" t="s">
        <v>126</v>
      </c>
      <c r="G2" s="14" t="s">
        <v>127</v>
      </c>
      <c r="H2" s="66">
        <v>1</v>
      </c>
      <c r="I2" s="66">
        <v>1</v>
      </c>
      <c r="J2" s="28">
        <v>93</v>
      </c>
      <c r="K2" s="28">
        <v>93</v>
      </c>
      <c r="L2" s="28">
        <v>20</v>
      </c>
      <c r="M2" s="28">
        <v>20</v>
      </c>
      <c r="N2" s="28">
        <v>300</v>
      </c>
      <c r="O2" s="28">
        <v>300</v>
      </c>
      <c r="P2" s="33">
        <f>SUM(J2,L2,N2)</f>
        <v>413</v>
      </c>
      <c r="Q2" s="33">
        <f>SUM(K2,M2,O2)</f>
        <v>413</v>
      </c>
      <c r="R2" s="28">
        <v>50</v>
      </c>
      <c r="S2" s="28">
        <v>50</v>
      </c>
      <c r="T2" s="28"/>
      <c r="U2" s="28"/>
      <c r="V2" s="28"/>
      <c r="W2" s="28"/>
      <c r="X2" s="33">
        <f>SUM(R2,T2,V2)</f>
        <v>50</v>
      </c>
      <c r="Y2" s="33">
        <f>SUM(S2,U2,W2)</f>
        <v>50</v>
      </c>
      <c r="Z2" s="28"/>
      <c r="AA2" s="28"/>
      <c r="AB2" s="28"/>
      <c r="AC2" s="28"/>
      <c r="AD2" s="28"/>
      <c r="AE2" s="28"/>
      <c r="AF2" s="33">
        <f>SUM(Z2,AB2,AD2)</f>
        <v>0</v>
      </c>
      <c r="AG2" s="33">
        <f>SUM(AA2,AC2,AE2)</f>
        <v>0</v>
      </c>
      <c r="AH2" s="28"/>
      <c r="AI2" s="28"/>
      <c r="AJ2" s="28"/>
      <c r="AK2" s="28"/>
      <c r="AL2" s="28"/>
      <c r="AM2" s="28"/>
      <c r="AN2" s="33">
        <f>SUM(AH2,AJ2,AL2)</f>
        <v>0</v>
      </c>
      <c r="AO2" s="33">
        <f>SUM(AI2,AK2,AM2)</f>
        <v>0</v>
      </c>
      <c r="AP2" s="45">
        <v>100</v>
      </c>
      <c r="AQ2" s="45"/>
      <c r="AR2" s="45">
        <v>100</v>
      </c>
      <c r="AS2" s="45"/>
      <c r="AT2" s="45">
        <v>100</v>
      </c>
      <c r="AU2" s="45"/>
      <c r="AV2" s="34">
        <f>SUM(P2,X2,AF2,AN2)</f>
        <v>463</v>
      </c>
      <c r="AW2" s="34">
        <f>SUM(Q2,Y2,AG2,AO2)</f>
        <v>463</v>
      </c>
      <c r="AX2" s="22">
        <f>IFERROR(Q2/P2,"")</f>
        <v>1</v>
      </c>
      <c r="AY2" s="22">
        <f>IFERROR((Q2+Y2)/(P2+X2),"")</f>
        <v>1</v>
      </c>
      <c r="AZ2" s="22">
        <f>IFERROR((Q2+Y2+AG2)/(P2+X2+AF2),"")</f>
        <v>1</v>
      </c>
      <c r="BA2" s="22">
        <f>IFERROR((Q2+Y2+AG2+AO2)/(P2+X2+AF2+AN2),"")</f>
        <v>1</v>
      </c>
      <c r="BB2" s="22">
        <f>IFERROR(AW2/AV2,"")</f>
        <v>1</v>
      </c>
      <c r="BC2" s="109" t="s">
        <v>133</v>
      </c>
      <c r="BD2"/>
    </row>
    <row r="3" spans="1:56" s="1" customFormat="1" ht="315" x14ac:dyDescent="0.25">
      <c r="A3"/>
      <c r="B3"/>
      <c r="C3" s="59" t="s">
        <v>27</v>
      </c>
      <c r="D3" s="60">
        <v>0.5</v>
      </c>
      <c r="E3" s="61" t="s">
        <v>40</v>
      </c>
      <c r="F3" s="62" t="s">
        <v>122</v>
      </c>
      <c r="G3" s="63" t="s">
        <v>123</v>
      </c>
      <c r="H3" s="66">
        <v>1</v>
      </c>
      <c r="I3" s="66">
        <v>1</v>
      </c>
      <c r="J3" s="28">
        <v>336</v>
      </c>
      <c r="K3" s="28">
        <v>336</v>
      </c>
      <c r="L3" s="28">
        <v>805</v>
      </c>
      <c r="M3" s="28">
        <v>805</v>
      </c>
      <c r="N3" s="28">
        <v>3874</v>
      </c>
      <c r="O3" s="28">
        <v>3874</v>
      </c>
      <c r="P3" s="33">
        <f>SUM(J3,L3,N3)</f>
        <v>5015</v>
      </c>
      <c r="Q3" s="33">
        <f>SUM(K3,M3,O3)</f>
        <v>5015</v>
      </c>
      <c r="R3" s="28">
        <v>408</v>
      </c>
      <c r="S3" s="28">
        <v>408</v>
      </c>
      <c r="T3" s="28"/>
      <c r="U3" s="28"/>
      <c r="V3" s="28"/>
      <c r="W3" s="28"/>
      <c r="X3" s="33">
        <f>SUM(R3,T3,V3)</f>
        <v>408</v>
      </c>
      <c r="Y3" s="33">
        <f>SUM(S3,U3,W3)</f>
        <v>408</v>
      </c>
      <c r="Z3" s="28"/>
      <c r="AA3" s="28"/>
      <c r="AB3" s="28"/>
      <c r="AC3" s="28"/>
      <c r="AD3" s="28"/>
      <c r="AE3" s="28"/>
      <c r="AF3" s="33">
        <f>SUM(Z3,AB3,AD3)</f>
        <v>0</v>
      </c>
      <c r="AG3" s="33">
        <f>SUM(AA3,AC3,AE3)</f>
        <v>0</v>
      </c>
      <c r="AH3" s="28"/>
      <c r="AI3" s="28"/>
      <c r="AJ3" s="28"/>
      <c r="AK3" s="28"/>
      <c r="AL3" s="28"/>
      <c r="AM3" s="28"/>
      <c r="AN3" s="33">
        <f>SUM(AH3,AJ3,AL3)</f>
        <v>0</v>
      </c>
      <c r="AO3" s="33">
        <f>SUM(AI3,AK3,AM3)</f>
        <v>0</v>
      </c>
      <c r="AP3" s="45">
        <v>100</v>
      </c>
      <c r="AQ3" s="45"/>
      <c r="AR3" s="45">
        <v>100</v>
      </c>
      <c r="AS3" s="45"/>
      <c r="AT3" s="45">
        <v>100</v>
      </c>
      <c r="AU3" s="45"/>
      <c r="AV3" s="21">
        <v>1</v>
      </c>
      <c r="AW3" s="21">
        <v>1</v>
      </c>
      <c r="AX3" s="22">
        <f>IFERROR(Q3/P3,"")</f>
        <v>1</v>
      </c>
      <c r="AY3" s="22">
        <f>IFERROR((Q3+Y3)/(P3+X3),"")</f>
        <v>1</v>
      </c>
      <c r="AZ3" s="22">
        <f>IFERROR((Q3+Y3+AG3)/(P3+X3+AF3),"")</f>
        <v>1</v>
      </c>
      <c r="BA3" s="22">
        <f>IFERROR((Q3+Y3+AG3+AO3)/(P3+X3+AF3+AN3),"")</f>
        <v>1</v>
      </c>
      <c r="BB3" s="22">
        <f>IFERROR(AW3/AV3,"")</f>
        <v>1</v>
      </c>
      <c r="BC3" s="109" t="s">
        <v>146</v>
      </c>
      <c r="BD3"/>
    </row>
  </sheetData>
  <dataValidations count="3">
    <dataValidation allowBlank="1" showInputMessage="1" showErrorMessage="1" promptTitle="Actividades" prompt="Registre las actividades macro que se requieren realizar para lograr la meta" sqref="F2" xr:uid="{00000000-0002-0000-0300-000000000000}"/>
    <dataValidation allowBlank="1" showInputMessage="1" showErrorMessage="1" promptTitle="Producto" prompt="Describa el resultado de lo que se espera alcanzar cuando se cumpla la meta" sqref="G2" xr:uid="{00000000-0002-0000-0300-000001000000}"/>
    <dataValidation allowBlank="1" showInputMessage="1" showErrorMessage="1" prompt="Registre la meta o las metas que se desarrollarán para el cumplimiento del Objetivo en 2021." sqref="D2:E2" xr:uid="{00000000-0002-0000-0300-000002000000}"/>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BQ25"/>
  <sheetViews>
    <sheetView zoomScale="87" zoomScaleNormal="87" workbookViewId="0">
      <pane xSplit="4" ySplit="7" topLeftCell="N21" activePane="bottomRight" state="frozen"/>
      <selection pane="topRight" activeCell="E1" sqref="E1"/>
      <selection pane="bottomLeft" activeCell="A7" sqref="A7"/>
      <selection pane="bottomRight" activeCell="P8" sqref="P8:Q8"/>
    </sheetView>
  </sheetViews>
  <sheetFormatPr baseColWidth="10" defaultColWidth="0" defaultRowHeight="9" x14ac:dyDescent="0.15"/>
  <cols>
    <col min="1" max="1" width="14.42578125" style="164" customWidth="1"/>
    <col min="2" max="2" width="31.7109375" style="164" customWidth="1"/>
    <col min="3" max="3" width="29.42578125" style="165" customWidth="1"/>
    <col min="4" max="4" width="13.28515625" style="164" customWidth="1"/>
    <col min="5" max="5" width="40.7109375" style="164" customWidth="1"/>
    <col min="6" max="6" width="11.85546875" style="164" customWidth="1"/>
    <col min="7" max="7" width="10.28515625" style="164" customWidth="1"/>
    <col min="8" max="8" width="7.85546875" style="164" customWidth="1"/>
    <col min="9" max="15" width="9.5703125" style="164" customWidth="1"/>
    <col min="16" max="16" width="61.140625" style="164" customWidth="1"/>
    <col min="17" max="17" width="58.5703125" style="164" customWidth="1"/>
    <col min="18" max="18" width="14.85546875" style="164" customWidth="1"/>
    <col min="19" max="19" width="14.5703125" style="164" customWidth="1"/>
    <col min="20" max="51" width="12.7109375" style="164" customWidth="1"/>
    <col min="52" max="52" width="6.5703125" style="164" hidden="1" customWidth="1"/>
    <col min="53" max="53" width="6.140625" style="164" hidden="1" customWidth="1"/>
    <col min="54" max="54" width="6.5703125" style="164" hidden="1" customWidth="1"/>
    <col min="55" max="55" width="5.42578125" style="164" hidden="1" customWidth="1"/>
    <col min="56" max="56" width="6.5703125" style="164" hidden="1" customWidth="1"/>
    <col min="57" max="57" width="5.42578125" style="164" hidden="1" customWidth="1"/>
    <col min="58" max="58" width="9.5703125" style="164" customWidth="1"/>
    <col min="59" max="59" width="12.42578125" style="164" customWidth="1"/>
    <col min="60" max="60" width="9.140625" style="164" bestFit="1" customWidth="1"/>
    <col min="61" max="61" width="10" style="164" bestFit="1" customWidth="1"/>
    <col min="62" max="62" width="9.42578125" style="164" bestFit="1" customWidth="1"/>
    <col min="63" max="63" width="9.42578125" style="164" customWidth="1"/>
    <col min="64" max="64" width="18" style="164" customWidth="1"/>
    <col min="65" max="65" width="110.28515625" style="165" bestFit="1" customWidth="1"/>
    <col min="66" max="66" width="38" style="164" customWidth="1"/>
    <col min="67" max="69" width="0" style="164" hidden="1" customWidth="1"/>
    <col min="70" max="16384" width="22.42578125" style="164" hidden="1"/>
  </cols>
  <sheetData>
    <row r="1" spans="1:67" ht="21" customHeight="1" x14ac:dyDescent="0.15">
      <c r="A1" s="692"/>
      <c r="B1" s="693"/>
      <c r="C1" s="689" t="s">
        <v>130</v>
      </c>
      <c r="D1" s="690"/>
      <c r="E1" s="690"/>
      <c r="F1" s="690"/>
      <c r="G1" s="690"/>
      <c r="H1" s="690"/>
      <c r="I1" s="690"/>
      <c r="J1" s="690"/>
      <c r="K1" s="690"/>
      <c r="L1" s="690"/>
      <c r="M1" s="690"/>
      <c r="N1" s="690"/>
      <c r="O1" s="690"/>
      <c r="P1" s="690"/>
      <c r="Q1" s="690"/>
      <c r="R1" s="690"/>
      <c r="S1" s="690"/>
      <c r="T1" s="690"/>
      <c r="U1" s="690"/>
      <c r="V1" s="690"/>
      <c r="W1" s="690"/>
      <c r="X1" s="690"/>
      <c r="Y1" s="690"/>
      <c r="Z1" s="690"/>
      <c r="AA1" s="690"/>
      <c r="AB1" s="690"/>
      <c r="AC1" s="690"/>
      <c r="AD1" s="690"/>
      <c r="AE1" s="690"/>
      <c r="AF1" s="690"/>
      <c r="AG1" s="690"/>
      <c r="AH1" s="690"/>
      <c r="AI1" s="690"/>
      <c r="AJ1" s="690"/>
      <c r="AK1" s="690"/>
      <c r="AL1" s="690"/>
      <c r="AM1" s="690"/>
      <c r="AN1" s="690"/>
      <c r="AO1" s="690"/>
      <c r="AP1" s="690"/>
      <c r="AQ1" s="690"/>
      <c r="AR1" s="690"/>
      <c r="AS1" s="690"/>
      <c r="AT1" s="690"/>
      <c r="AU1" s="690"/>
      <c r="AV1" s="690"/>
      <c r="AW1" s="690"/>
      <c r="AX1" s="690"/>
      <c r="AY1" s="690"/>
      <c r="AZ1" s="690"/>
      <c r="BA1" s="690"/>
      <c r="BB1" s="690"/>
      <c r="BC1" s="690"/>
      <c r="BD1" s="690"/>
      <c r="BE1" s="690"/>
      <c r="BF1" s="690"/>
      <c r="BG1" s="690"/>
      <c r="BH1" s="690"/>
      <c r="BI1" s="690"/>
      <c r="BJ1" s="690"/>
      <c r="BK1" s="690"/>
      <c r="BL1" s="690"/>
      <c r="BM1" s="691"/>
      <c r="BN1" s="200" t="s">
        <v>189</v>
      </c>
      <c r="BO1" s="201"/>
    </row>
    <row r="2" spans="1:67" ht="16.5" customHeight="1" x14ac:dyDescent="0.2">
      <c r="A2" s="694"/>
      <c r="B2" s="695"/>
      <c r="C2" s="689"/>
      <c r="D2" s="690"/>
      <c r="E2" s="690"/>
      <c r="F2" s="690"/>
      <c r="G2" s="690"/>
      <c r="H2" s="690"/>
      <c r="I2" s="690"/>
      <c r="J2" s="690"/>
      <c r="K2" s="690"/>
      <c r="L2" s="690"/>
      <c r="M2" s="690"/>
      <c r="N2" s="690"/>
      <c r="O2" s="690"/>
      <c r="P2" s="690"/>
      <c r="Q2" s="690"/>
      <c r="R2" s="690"/>
      <c r="S2" s="690"/>
      <c r="T2" s="690"/>
      <c r="U2" s="690"/>
      <c r="V2" s="690"/>
      <c r="W2" s="690"/>
      <c r="X2" s="690"/>
      <c r="Y2" s="690"/>
      <c r="Z2" s="690"/>
      <c r="AA2" s="690"/>
      <c r="AB2" s="690"/>
      <c r="AC2" s="690"/>
      <c r="AD2" s="690"/>
      <c r="AE2" s="690"/>
      <c r="AF2" s="690"/>
      <c r="AG2" s="690"/>
      <c r="AH2" s="690"/>
      <c r="AI2" s="690"/>
      <c r="AJ2" s="690"/>
      <c r="AK2" s="690"/>
      <c r="AL2" s="690"/>
      <c r="AM2" s="690"/>
      <c r="AN2" s="690"/>
      <c r="AO2" s="690"/>
      <c r="AP2" s="690"/>
      <c r="AQ2" s="690"/>
      <c r="AR2" s="690"/>
      <c r="AS2" s="690"/>
      <c r="AT2" s="690"/>
      <c r="AU2" s="690"/>
      <c r="AV2" s="690"/>
      <c r="AW2" s="690"/>
      <c r="AX2" s="690"/>
      <c r="AY2" s="690"/>
      <c r="AZ2" s="690"/>
      <c r="BA2" s="690"/>
      <c r="BB2" s="690"/>
      <c r="BC2" s="690"/>
      <c r="BD2" s="690"/>
      <c r="BE2" s="690"/>
      <c r="BF2" s="690"/>
      <c r="BG2" s="690"/>
      <c r="BH2" s="690"/>
      <c r="BI2" s="690"/>
      <c r="BJ2" s="690"/>
      <c r="BK2" s="690"/>
      <c r="BL2" s="690"/>
      <c r="BM2" s="691"/>
      <c r="BN2" s="112" t="s">
        <v>190</v>
      </c>
      <c r="BO2" s="1"/>
    </row>
    <row r="3" spans="1:67" ht="14.25" customHeight="1" thickBot="1" x14ac:dyDescent="0.25">
      <c r="A3" s="696"/>
      <c r="B3" s="697"/>
      <c r="C3" s="689"/>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c r="AM3" s="690"/>
      <c r="AN3" s="690"/>
      <c r="AO3" s="690"/>
      <c r="AP3" s="690"/>
      <c r="AQ3" s="690"/>
      <c r="AR3" s="690"/>
      <c r="AS3" s="690"/>
      <c r="AT3" s="690"/>
      <c r="AU3" s="690"/>
      <c r="AV3" s="690"/>
      <c r="AW3" s="690"/>
      <c r="AX3" s="690"/>
      <c r="AY3" s="690"/>
      <c r="AZ3" s="690"/>
      <c r="BA3" s="690"/>
      <c r="BB3" s="690"/>
      <c r="BC3" s="690"/>
      <c r="BD3" s="690"/>
      <c r="BE3" s="690"/>
      <c r="BF3" s="690"/>
      <c r="BG3" s="690"/>
      <c r="BH3" s="690"/>
      <c r="BI3" s="690"/>
      <c r="BJ3" s="690"/>
      <c r="BK3" s="690"/>
      <c r="BL3" s="690"/>
      <c r="BM3" s="691"/>
      <c r="BN3" s="326" t="s">
        <v>191</v>
      </c>
      <c r="BO3" s="1"/>
    </row>
    <row r="4" spans="1:67" s="327" customFormat="1" ht="14.25" customHeight="1" thickBot="1" x14ac:dyDescent="0.3">
      <c r="A4" s="654" t="s">
        <v>51</v>
      </c>
      <c r="B4" s="654" t="s">
        <v>17</v>
      </c>
      <c r="C4" s="657" t="s">
        <v>18</v>
      </c>
      <c r="D4" s="657" t="s">
        <v>61</v>
      </c>
      <c r="E4" s="657" t="s">
        <v>16</v>
      </c>
      <c r="F4" s="658">
        <v>2020</v>
      </c>
      <c r="G4" s="658"/>
      <c r="H4" s="658">
        <v>2021</v>
      </c>
      <c r="I4" s="658"/>
      <c r="J4" s="659">
        <v>2022</v>
      </c>
      <c r="K4" s="660"/>
      <c r="L4" s="658">
        <v>2023</v>
      </c>
      <c r="M4" s="658"/>
      <c r="N4" s="658">
        <v>2024</v>
      </c>
      <c r="O4" s="658"/>
    </row>
    <row r="5" spans="1:67" s="152" customFormat="1" ht="22.5" customHeight="1" x14ac:dyDescent="0.3">
      <c r="A5" s="655"/>
      <c r="B5" s="655"/>
      <c r="C5" s="655"/>
      <c r="D5" s="655"/>
      <c r="E5" s="655"/>
      <c r="F5" s="658" t="s">
        <v>329</v>
      </c>
      <c r="G5" s="658" t="s">
        <v>6</v>
      </c>
      <c r="H5" s="658" t="s">
        <v>329</v>
      </c>
      <c r="I5" s="658" t="s">
        <v>6</v>
      </c>
      <c r="J5" s="658" t="s">
        <v>329</v>
      </c>
      <c r="K5" s="658" t="s">
        <v>6</v>
      </c>
      <c r="L5" s="658" t="s">
        <v>329</v>
      </c>
      <c r="M5" s="658" t="s">
        <v>6</v>
      </c>
      <c r="N5" s="658" t="s">
        <v>329</v>
      </c>
      <c r="O5" s="658" t="s">
        <v>6</v>
      </c>
      <c r="P5" s="704" t="s">
        <v>15</v>
      </c>
      <c r="Q5" s="704" t="s">
        <v>14</v>
      </c>
      <c r="R5" s="700" t="s">
        <v>155</v>
      </c>
      <c r="S5" s="701"/>
      <c r="T5" s="698" t="s">
        <v>147</v>
      </c>
      <c r="U5" s="656"/>
      <c r="V5" s="656"/>
      <c r="W5" s="656"/>
      <c r="X5" s="656"/>
      <c r="Y5" s="656"/>
      <c r="Z5" s="656"/>
      <c r="AA5" s="656"/>
      <c r="AB5" s="656"/>
      <c r="AC5" s="656"/>
      <c r="AD5" s="656"/>
      <c r="AE5" s="656"/>
      <c r="AF5" s="656"/>
      <c r="AG5" s="656"/>
      <c r="AH5" s="656"/>
      <c r="AI5" s="656"/>
      <c r="AJ5" s="656"/>
      <c r="AK5" s="656"/>
      <c r="AL5" s="656"/>
      <c r="AM5" s="656"/>
      <c r="AN5" s="656"/>
      <c r="AO5" s="656"/>
      <c r="AP5" s="656"/>
      <c r="AQ5" s="656"/>
      <c r="AR5" s="656"/>
      <c r="AS5" s="656"/>
      <c r="AT5" s="656"/>
      <c r="AU5" s="656"/>
      <c r="AV5" s="656"/>
      <c r="AW5" s="656"/>
      <c r="AX5" s="656"/>
      <c r="AY5" s="656"/>
      <c r="AZ5" s="656"/>
      <c r="BA5" s="656"/>
      <c r="BB5" s="656"/>
      <c r="BC5" s="656"/>
      <c r="BD5" s="656"/>
      <c r="BE5" s="699"/>
      <c r="BF5" s="676">
        <v>2021</v>
      </c>
      <c r="BG5" s="678"/>
      <c r="BH5" s="676" t="s">
        <v>9</v>
      </c>
      <c r="BI5" s="677"/>
      <c r="BJ5" s="677"/>
      <c r="BK5" s="678"/>
      <c r="BL5" s="682" t="s">
        <v>8</v>
      </c>
      <c r="BM5" s="673" t="s">
        <v>134</v>
      </c>
      <c r="BN5" s="673" t="s">
        <v>140</v>
      </c>
    </row>
    <row r="6" spans="1:67" s="152" customFormat="1" ht="13.5" x14ac:dyDescent="0.3">
      <c r="A6" s="655"/>
      <c r="B6" s="655"/>
      <c r="C6" s="655"/>
      <c r="D6" s="655"/>
      <c r="E6" s="655"/>
      <c r="F6" s="658"/>
      <c r="G6" s="658"/>
      <c r="H6" s="658"/>
      <c r="I6" s="658"/>
      <c r="J6" s="658"/>
      <c r="K6" s="658"/>
      <c r="L6" s="658"/>
      <c r="M6" s="658"/>
      <c r="N6" s="658"/>
      <c r="O6" s="658"/>
      <c r="P6" s="705"/>
      <c r="Q6" s="705"/>
      <c r="R6" s="702"/>
      <c r="S6" s="703"/>
      <c r="T6" s="672" t="s">
        <v>110</v>
      </c>
      <c r="U6" s="672"/>
      <c r="V6" s="672" t="s">
        <v>111</v>
      </c>
      <c r="W6" s="672"/>
      <c r="X6" s="672" t="s">
        <v>112</v>
      </c>
      <c r="Y6" s="672"/>
      <c r="Z6" s="671" t="s">
        <v>13</v>
      </c>
      <c r="AA6" s="671"/>
      <c r="AB6" s="672" t="s">
        <v>113</v>
      </c>
      <c r="AC6" s="672"/>
      <c r="AD6" s="672" t="s">
        <v>114</v>
      </c>
      <c r="AE6" s="672"/>
      <c r="AF6" s="672" t="s">
        <v>115</v>
      </c>
      <c r="AG6" s="672"/>
      <c r="AH6" s="671" t="s">
        <v>12</v>
      </c>
      <c r="AI6" s="671"/>
      <c r="AJ6" s="672" t="s">
        <v>116</v>
      </c>
      <c r="AK6" s="672"/>
      <c r="AL6" s="672" t="s">
        <v>117</v>
      </c>
      <c r="AM6" s="672"/>
      <c r="AN6" s="672" t="s">
        <v>118</v>
      </c>
      <c r="AO6" s="672"/>
      <c r="AP6" s="671" t="s">
        <v>11</v>
      </c>
      <c r="AQ6" s="671"/>
      <c r="AR6" s="672" t="s">
        <v>119</v>
      </c>
      <c r="AS6" s="672"/>
      <c r="AT6" s="672" t="s">
        <v>120</v>
      </c>
      <c r="AU6" s="672"/>
      <c r="AV6" s="672" t="s">
        <v>121</v>
      </c>
      <c r="AW6" s="672"/>
      <c r="AX6" s="685" t="s">
        <v>10</v>
      </c>
      <c r="AY6" s="686"/>
      <c r="AZ6" s="687">
        <v>2022</v>
      </c>
      <c r="BA6" s="688"/>
      <c r="BB6" s="687">
        <v>2023</v>
      </c>
      <c r="BC6" s="688"/>
      <c r="BD6" s="687">
        <v>2024</v>
      </c>
      <c r="BE6" s="688"/>
      <c r="BF6" s="679"/>
      <c r="BG6" s="681"/>
      <c r="BH6" s="679"/>
      <c r="BI6" s="680"/>
      <c r="BJ6" s="680"/>
      <c r="BK6" s="681"/>
      <c r="BL6" s="683"/>
      <c r="BM6" s="674"/>
      <c r="BN6" s="674"/>
    </row>
    <row r="7" spans="1:67" s="169" customFormat="1" ht="12.75" x14ac:dyDescent="0.25">
      <c r="A7" s="656"/>
      <c r="B7" s="656"/>
      <c r="C7" s="656"/>
      <c r="D7" s="656"/>
      <c r="E7" s="656"/>
      <c r="F7" s="658"/>
      <c r="G7" s="658"/>
      <c r="H7" s="658"/>
      <c r="I7" s="658"/>
      <c r="J7" s="658"/>
      <c r="K7" s="658"/>
      <c r="L7" s="658"/>
      <c r="M7" s="658"/>
      <c r="N7" s="658"/>
      <c r="O7" s="658"/>
      <c r="P7" s="705"/>
      <c r="Q7" s="705"/>
      <c r="R7" s="166" t="s">
        <v>7</v>
      </c>
      <c r="S7" s="166" t="s">
        <v>6</v>
      </c>
      <c r="T7" s="167" t="s">
        <v>7</v>
      </c>
      <c r="U7" s="167" t="s">
        <v>6</v>
      </c>
      <c r="V7" s="167" t="s">
        <v>7</v>
      </c>
      <c r="W7" s="167" t="s">
        <v>6</v>
      </c>
      <c r="X7" s="167" t="s">
        <v>7</v>
      </c>
      <c r="Y7" s="167" t="s">
        <v>6</v>
      </c>
      <c r="Z7" s="166" t="s">
        <v>7</v>
      </c>
      <c r="AA7" s="166" t="s">
        <v>6</v>
      </c>
      <c r="AB7" s="167" t="s">
        <v>7</v>
      </c>
      <c r="AC7" s="167" t="s">
        <v>6</v>
      </c>
      <c r="AD7" s="167" t="s">
        <v>7</v>
      </c>
      <c r="AE7" s="167" t="s">
        <v>6</v>
      </c>
      <c r="AF7" s="167" t="s">
        <v>7</v>
      </c>
      <c r="AG7" s="167" t="s">
        <v>6</v>
      </c>
      <c r="AH7" s="166" t="s">
        <v>7</v>
      </c>
      <c r="AI7" s="166" t="s">
        <v>6</v>
      </c>
      <c r="AJ7" s="167" t="s">
        <v>7</v>
      </c>
      <c r="AK7" s="167" t="s">
        <v>6</v>
      </c>
      <c r="AL7" s="167" t="s">
        <v>7</v>
      </c>
      <c r="AM7" s="167" t="s">
        <v>6</v>
      </c>
      <c r="AN7" s="167" t="s">
        <v>7</v>
      </c>
      <c r="AO7" s="167" t="s">
        <v>6</v>
      </c>
      <c r="AP7" s="166" t="s">
        <v>7</v>
      </c>
      <c r="AQ7" s="166" t="s">
        <v>6</v>
      </c>
      <c r="AR7" s="167" t="s">
        <v>7</v>
      </c>
      <c r="AS7" s="167" t="s">
        <v>6</v>
      </c>
      <c r="AT7" s="167" t="s">
        <v>7</v>
      </c>
      <c r="AU7" s="167" t="s">
        <v>6</v>
      </c>
      <c r="AV7" s="167" t="s">
        <v>7</v>
      </c>
      <c r="AW7" s="167" t="s">
        <v>6</v>
      </c>
      <c r="AX7" s="166" t="s">
        <v>7</v>
      </c>
      <c r="AY7" s="166" t="s">
        <v>6</v>
      </c>
      <c r="AZ7" s="168" t="s">
        <v>7</v>
      </c>
      <c r="BA7" s="168" t="s">
        <v>6</v>
      </c>
      <c r="BB7" s="168" t="s">
        <v>7</v>
      </c>
      <c r="BC7" s="168" t="s">
        <v>6</v>
      </c>
      <c r="BD7" s="168" t="s">
        <v>7</v>
      </c>
      <c r="BE7" s="168" t="s">
        <v>6</v>
      </c>
      <c r="BF7" s="210" t="s">
        <v>7</v>
      </c>
      <c r="BG7" s="210" t="s">
        <v>6</v>
      </c>
      <c r="BH7" s="210" t="s">
        <v>5</v>
      </c>
      <c r="BI7" s="210" t="s">
        <v>4</v>
      </c>
      <c r="BJ7" s="210" t="s">
        <v>3</v>
      </c>
      <c r="BK7" s="210" t="s">
        <v>2</v>
      </c>
      <c r="BL7" s="684"/>
      <c r="BM7" s="675"/>
      <c r="BN7" s="675"/>
    </row>
    <row r="8" spans="1:67" s="152" customFormat="1" ht="409.5" x14ac:dyDescent="0.3">
      <c r="A8" s="223" t="s">
        <v>45</v>
      </c>
      <c r="B8" s="224" t="s">
        <v>19</v>
      </c>
      <c r="C8" s="153" t="s">
        <v>20</v>
      </c>
      <c r="D8" s="321">
        <v>0.5</v>
      </c>
      <c r="E8" s="153" t="s">
        <v>197</v>
      </c>
      <c r="F8" s="330">
        <v>1</v>
      </c>
      <c r="G8" s="330">
        <v>1</v>
      </c>
      <c r="H8" s="330">
        <v>1</v>
      </c>
      <c r="I8" s="330">
        <v>1</v>
      </c>
      <c r="J8" s="329">
        <v>1</v>
      </c>
      <c r="K8" s="328"/>
      <c r="L8" s="328"/>
      <c r="M8" s="328"/>
      <c r="N8" s="329">
        <v>1</v>
      </c>
      <c r="O8" s="328"/>
      <c r="P8" s="170" t="s">
        <v>44</v>
      </c>
      <c r="Q8" s="171" t="s">
        <v>135</v>
      </c>
      <c r="R8" s="197">
        <v>100</v>
      </c>
      <c r="S8" s="197">
        <v>100</v>
      </c>
      <c r="T8" s="205">
        <f t="shared" ref="T8:Y8" si="0">1/12</f>
        <v>8.3333333333333329E-2</v>
      </c>
      <c r="U8" s="205">
        <f t="shared" si="0"/>
        <v>8.3333333333333329E-2</v>
      </c>
      <c r="V8" s="205">
        <f t="shared" si="0"/>
        <v>8.3333333333333329E-2</v>
      </c>
      <c r="W8" s="205">
        <f t="shared" si="0"/>
        <v>8.3333333333333329E-2</v>
      </c>
      <c r="X8" s="205">
        <f t="shared" si="0"/>
        <v>8.3333333333333329E-2</v>
      </c>
      <c r="Y8" s="205">
        <f t="shared" si="0"/>
        <v>8.3333333333333329E-2</v>
      </c>
      <c r="Z8" s="203">
        <f t="shared" ref="Z8" si="1">SUM(T8,V8,X8)</f>
        <v>0.25</v>
      </c>
      <c r="AA8" s="203">
        <f t="shared" ref="AA8" si="2">SUM(U8,W8,Y8)</f>
        <v>0.25</v>
      </c>
      <c r="AB8" s="205">
        <f t="shared" ref="AB8:AG8" si="3">1/12</f>
        <v>8.3333333333333329E-2</v>
      </c>
      <c r="AC8" s="205">
        <f t="shared" si="3"/>
        <v>8.3333333333333329E-2</v>
      </c>
      <c r="AD8" s="205">
        <f t="shared" si="3"/>
        <v>8.3333333333333329E-2</v>
      </c>
      <c r="AE8" s="205">
        <f t="shared" si="3"/>
        <v>8.3333333333333329E-2</v>
      </c>
      <c r="AF8" s="205">
        <f t="shared" si="3"/>
        <v>8.3333333333333329E-2</v>
      </c>
      <c r="AG8" s="205">
        <f t="shared" si="3"/>
        <v>8.3333333333333329E-2</v>
      </c>
      <c r="AH8" s="203">
        <f t="shared" ref="AH8" si="4">SUM(AB8,AD8,AF8)</f>
        <v>0.25</v>
      </c>
      <c r="AI8" s="203">
        <f t="shared" ref="AI8" si="5">SUM(AC8,AE8,AG8)</f>
        <v>0.25</v>
      </c>
      <c r="AJ8" s="205">
        <f t="shared" ref="AJ8:AO8" si="6">1/12</f>
        <v>8.3333333333333329E-2</v>
      </c>
      <c r="AK8" s="205">
        <f t="shared" si="6"/>
        <v>8.3333333333333329E-2</v>
      </c>
      <c r="AL8" s="205">
        <f t="shared" si="6"/>
        <v>8.3333333333333329E-2</v>
      </c>
      <c r="AM8" s="205">
        <f t="shared" si="6"/>
        <v>8.3333333333333329E-2</v>
      </c>
      <c r="AN8" s="205">
        <f t="shared" si="6"/>
        <v>8.3333333333333329E-2</v>
      </c>
      <c r="AO8" s="205">
        <f t="shared" si="6"/>
        <v>8.3333333333333329E-2</v>
      </c>
      <c r="AP8" s="203">
        <f t="shared" ref="AP8" si="7">SUM(AJ8,AL8,AN8)</f>
        <v>0.25</v>
      </c>
      <c r="AQ8" s="203">
        <f t="shared" ref="AQ8" si="8">SUM(AK8,AM8,AO8)</f>
        <v>0.25</v>
      </c>
      <c r="AR8" s="205">
        <f t="shared" ref="AR8:AW8" si="9">1/12</f>
        <v>8.3333333333333329E-2</v>
      </c>
      <c r="AS8" s="205">
        <f t="shared" si="9"/>
        <v>8.3333333333333329E-2</v>
      </c>
      <c r="AT8" s="205">
        <f t="shared" si="9"/>
        <v>8.3333333333333329E-2</v>
      </c>
      <c r="AU8" s="205">
        <f t="shared" si="9"/>
        <v>8.3333333333333329E-2</v>
      </c>
      <c r="AV8" s="205">
        <f t="shared" si="9"/>
        <v>8.3333333333333329E-2</v>
      </c>
      <c r="AW8" s="205">
        <f t="shared" si="9"/>
        <v>8.3333333333333329E-2</v>
      </c>
      <c r="AX8" s="156">
        <f t="shared" ref="AX8" si="10">SUM(AR8,AT8,AV8)</f>
        <v>0.25</v>
      </c>
      <c r="AY8" s="156">
        <f t="shared" ref="AY8" si="11">SUM(AS8,AU8,AW8)</f>
        <v>0.25</v>
      </c>
      <c r="AZ8" s="209">
        <f>100/100</f>
        <v>1</v>
      </c>
      <c r="BA8" s="161"/>
      <c r="BB8" s="209">
        <f>100/100</f>
        <v>1</v>
      </c>
      <c r="BC8" s="161"/>
      <c r="BD8" s="209">
        <f>100/100</f>
        <v>1</v>
      </c>
      <c r="BE8" s="161"/>
      <c r="BF8" s="211">
        <f>SUM(Z8,AH8,AP8,AX8)</f>
        <v>1</v>
      </c>
      <c r="BG8" s="211">
        <f>SUM(AA8,AI8,AQ8,AY8)</f>
        <v>1</v>
      </c>
      <c r="BH8" s="212">
        <f t="shared" ref="BH8:BH24" si="12">IFERROR(AA8/Z8,"")</f>
        <v>1</v>
      </c>
      <c r="BI8" s="212">
        <f>IFERROR((AA8+AI8)/(Z8+AH8),"")</f>
        <v>1</v>
      </c>
      <c r="BJ8" s="212">
        <f>IFERROR((AA8+AI8+AQ8)/(Z8+AH8+AP8),"")</f>
        <v>1</v>
      </c>
      <c r="BK8" s="212">
        <f>IFERROR((AA8+AI8+AQ8+AY8)/(Z8+AH8+AP8+AX8),"")</f>
        <v>1</v>
      </c>
      <c r="BL8" s="206">
        <f>IFERROR(BG8/BF8,"")</f>
        <v>1</v>
      </c>
      <c r="BM8" s="172" t="s">
        <v>313</v>
      </c>
      <c r="BN8" s="206">
        <f>AVERAGE(BL8:BL8)</f>
        <v>1</v>
      </c>
    </row>
    <row r="9" spans="1:67" s="152" customFormat="1" ht="409.5" x14ac:dyDescent="0.3">
      <c r="A9" s="708" t="s">
        <v>46</v>
      </c>
      <c r="B9" s="714" t="s">
        <v>21</v>
      </c>
      <c r="C9" s="666" t="s">
        <v>22</v>
      </c>
      <c r="D9" s="319">
        <v>0.5</v>
      </c>
      <c r="E9" s="225" t="s">
        <v>196</v>
      </c>
      <c r="F9" s="24">
        <v>1</v>
      </c>
      <c r="G9" s="24">
        <v>1</v>
      </c>
      <c r="H9" s="318">
        <v>1</v>
      </c>
      <c r="I9" s="331">
        <v>0.57999999999999996</v>
      </c>
      <c r="J9" s="225"/>
      <c r="K9" s="225"/>
      <c r="L9" s="225"/>
      <c r="M9" s="225"/>
      <c r="N9" s="225"/>
      <c r="O9" s="225"/>
      <c r="P9" s="173" t="s">
        <v>52</v>
      </c>
      <c r="Q9" s="173" t="s">
        <v>52</v>
      </c>
      <c r="R9" s="196">
        <v>100</v>
      </c>
      <c r="S9" s="196">
        <v>100</v>
      </c>
      <c r="T9" s="202">
        <v>0</v>
      </c>
      <c r="U9" s="202">
        <v>0</v>
      </c>
      <c r="V9" s="202">
        <v>0</v>
      </c>
      <c r="W9" s="202">
        <v>0</v>
      </c>
      <c r="X9" s="202">
        <v>0</v>
      </c>
      <c r="Y9" s="202">
        <v>0</v>
      </c>
      <c r="Z9" s="203">
        <f>SUM(T9,V9,X9)</f>
        <v>0</v>
      </c>
      <c r="AA9" s="203">
        <f t="shared" ref="AA9:AA10" si="13">SUM(U9,W9,Y9)</f>
        <v>0</v>
      </c>
      <c r="AB9" s="202">
        <v>0</v>
      </c>
      <c r="AC9" s="202">
        <v>0</v>
      </c>
      <c r="AD9" s="204">
        <v>0.125</v>
      </c>
      <c r="AE9" s="202">
        <v>0</v>
      </c>
      <c r="AF9" s="204">
        <v>0.125</v>
      </c>
      <c r="AG9" s="202">
        <v>0</v>
      </c>
      <c r="AH9" s="203">
        <f>SUM(AB9,AD9,AF9)</f>
        <v>0.25</v>
      </c>
      <c r="AI9" s="203">
        <f t="shared" ref="AH9:AI11" si="14">SUM(AC9,AE9,AG9)</f>
        <v>0</v>
      </c>
      <c r="AJ9" s="204">
        <f>12.5/100</f>
        <v>0.125</v>
      </c>
      <c r="AK9" s="202">
        <v>0</v>
      </c>
      <c r="AL9" s="204">
        <f>12.5/100</f>
        <v>0.125</v>
      </c>
      <c r="AM9" s="202">
        <v>0</v>
      </c>
      <c r="AN9" s="204">
        <f>12.5/100</f>
        <v>0.125</v>
      </c>
      <c r="AO9" s="204">
        <v>0.16600000000000001</v>
      </c>
      <c r="AP9" s="203">
        <f t="shared" ref="AP9:AQ11" si="15">SUM(AJ9,AL9,AN9)</f>
        <v>0.375</v>
      </c>
      <c r="AQ9" s="193">
        <f t="shared" si="15"/>
        <v>0.16600000000000001</v>
      </c>
      <c r="AR9" s="204">
        <f>12.5/100</f>
        <v>0.125</v>
      </c>
      <c r="AS9" s="204">
        <v>0.16600000000000001</v>
      </c>
      <c r="AT9" s="204">
        <f>12.5/100</f>
        <v>0.125</v>
      </c>
      <c r="AU9" s="204">
        <f>12.5/100</f>
        <v>0.125</v>
      </c>
      <c r="AV9" s="204">
        <f>12.5/100</f>
        <v>0.125</v>
      </c>
      <c r="AW9" s="204">
        <f>12.5/100</f>
        <v>0.125</v>
      </c>
      <c r="AX9" s="203">
        <f t="shared" ref="AX9:AY11" si="16">SUM(AR9,AT9,AV9)</f>
        <v>0.375</v>
      </c>
      <c r="AY9" s="203">
        <f t="shared" si="16"/>
        <v>0.41600000000000004</v>
      </c>
      <c r="AZ9" s="194">
        <v>100</v>
      </c>
      <c r="BA9" s="194"/>
      <c r="BB9" s="194">
        <v>100</v>
      </c>
      <c r="BC9" s="194"/>
      <c r="BD9" s="194">
        <v>100</v>
      </c>
      <c r="BE9" s="194"/>
      <c r="BF9" s="211">
        <f>SUM(Z9,AH9,AP9,AX9)</f>
        <v>1</v>
      </c>
      <c r="BG9" s="213">
        <f>SUM(AA9,AI9,AQ9,AY9)</f>
        <v>0.58200000000000007</v>
      </c>
      <c r="BH9" s="212" t="str">
        <f t="shared" si="12"/>
        <v/>
      </c>
      <c r="BI9" s="212">
        <f>IFERROR((AA9+AI9)/(Z9+AH9),"")</f>
        <v>0</v>
      </c>
      <c r="BJ9" s="212">
        <f t="shared" ref="BJ9:BJ24" si="17">IFERROR((AA9+AI9+AQ9)/(Z9+AH9+AP9),"")</f>
        <v>0.2656</v>
      </c>
      <c r="BK9" s="212">
        <f t="shared" ref="BK9:BK24" si="18">IFERROR((AA9+AI9+AQ9+AY9)/(Z9+AH9+AP9+AX9),"")</f>
        <v>0.58200000000000007</v>
      </c>
      <c r="BL9" s="206">
        <f t="shared" ref="BL9:BL24" si="19">IFERROR(BG9/BF9,"")</f>
        <v>0.58200000000000007</v>
      </c>
      <c r="BM9" s="172" t="s">
        <v>314</v>
      </c>
      <c r="BN9" s="661">
        <f>AVERAGE(BL9:BL16)</f>
        <v>0.93536363636363629</v>
      </c>
    </row>
    <row r="10" spans="1:67" s="152" customFormat="1" ht="409.5" x14ac:dyDescent="0.3">
      <c r="A10" s="708"/>
      <c r="B10" s="715"/>
      <c r="C10" s="667"/>
      <c r="D10" s="319">
        <v>0.5</v>
      </c>
      <c r="E10" s="225" t="s">
        <v>206</v>
      </c>
      <c r="F10" s="24">
        <v>1</v>
      </c>
      <c r="G10" s="24">
        <v>1</v>
      </c>
      <c r="H10" s="331">
        <v>1</v>
      </c>
      <c r="I10" s="331">
        <v>0.95</v>
      </c>
      <c r="J10" s="225"/>
      <c r="K10" s="225"/>
      <c r="L10" s="225"/>
      <c r="M10" s="225"/>
      <c r="N10" s="225"/>
      <c r="O10" s="225"/>
      <c r="P10" s="173" t="s">
        <v>52</v>
      </c>
      <c r="Q10" s="174" t="s">
        <v>53</v>
      </c>
      <c r="R10" s="196">
        <v>100</v>
      </c>
      <c r="S10" s="196">
        <v>100</v>
      </c>
      <c r="T10" s="183">
        <v>0</v>
      </c>
      <c r="U10" s="183">
        <v>0</v>
      </c>
      <c r="V10" s="183">
        <v>0</v>
      </c>
      <c r="W10" s="183">
        <v>0</v>
      </c>
      <c r="X10" s="202">
        <f>5/100</f>
        <v>0.05</v>
      </c>
      <c r="Y10" s="202"/>
      <c r="Z10" s="203">
        <f>SUM(T10,V10,X10)</f>
        <v>0.05</v>
      </c>
      <c r="AA10" s="203">
        <f t="shared" si="13"/>
        <v>0</v>
      </c>
      <c r="AB10" s="202">
        <f>5/100</f>
        <v>0.05</v>
      </c>
      <c r="AC10" s="202">
        <f>5/100</f>
        <v>0.05</v>
      </c>
      <c r="AD10" s="202">
        <f>10/100</f>
        <v>0.1</v>
      </c>
      <c r="AE10" s="202">
        <f t="shared" ref="AE10:AG10" si="20">10/100</f>
        <v>0.1</v>
      </c>
      <c r="AF10" s="202">
        <f t="shared" si="20"/>
        <v>0.1</v>
      </c>
      <c r="AG10" s="202">
        <f t="shared" si="20"/>
        <v>0.1</v>
      </c>
      <c r="AH10" s="203">
        <f t="shared" si="14"/>
        <v>0.25</v>
      </c>
      <c r="AI10" s="203">
        <f t="shared" si="14"/>
        <v>0.25</v>
      </c>
      <c r="AJ10" s="202">
        <f t="shared" ref="AJ10:AO10" si="21">10/100</f>
        <v>0.1</v>
      </c>
      <c r="AK10" s="202">
        <f t="shared" si="21"/>
        <v>0.1</v>
      </c>
      <c r="AL10" s="202">
        <f t="shared" si="21"/>
        <v>0.1</v>
      </c>
      <c r="AM10" s="202">
        <f t="shared" si="21"/>
        <v>0.1</v>
      </c>
      <c r="AN10" s="202">
        <f t="shared" si="21"/>
        <v>0.1</v>
      </c>
      <c r="AO10" s="202">
        <f t="shared" si="21"/>
        <v>0.1</v>
      </c>
      <c r="AP10" s="203">
        <f t="shared" si="15"/>
        <v>0.30000000000000004</v>
      </c>
      <c r="AQ10" s="203">
        <f t="shared" si="15"/>
        <v>0.30000000000000004</v>
      </c>
      <c r="AR10" s="202">
        <f>10/100</f>
        <v>0.1</v>
      </c>
      <c r="AS10" s="202">
        <f>10/100</f>
        <v>0.1</v>
      </c>
      <c r="AT10" s="202">
        <f>20/100</f>
        <v>0.2</v>
      </c>
      <c r="AU10" s="202">
        <f>20/100</f>
        <v>0.2</v>
      </c>
      <c r="AV10" s="202">
        <f>10/100</f>
        <v>0.1</v>
      </c>
      <c r="AW10" s="202">
        <f>10/100</f>
        <v>0.1</v>
      </c>
      <c r="AX10" s="203">
        <f t="shared" si="16"/>
        <v>0.4</v>
      </c>
      <c r="AY10" s="203">
        <f t="shared" si="16"/>
        <v>0.4</v>
      </c>
      <c r="AZ10" s="163">
        <v>100</v>
      </c>
      <c r="BA10" s="163"/>
      <c r="BB10" s="163">
        <v>100</v>
      </c>
      <c r="BC10" s="163"/>
      <c r="BD10" s="163">
        <v>100</v>
      </c>
      <c r="BE10" s="163"/>
      <c r="BF10" s="211">
        <f t="shared" ref="BF10:BG24" si="22">SUM(Z10,AH10,AP10,AX10)</f>
        <v>1</v>
      </c>
      <c r="BG10" s="211">
        <f t="shared" ref="BG10:BG24" si="23">SUM(AA10,AI10,AQ10,AY10)</f>
        <v>0.95000000000000007</v>
      </c>
      <c r="BH10" s="212">
        <f t="shared" si="12"/>
        <v>0</v>
      </c>
      <c r="BI10" s="212">
        <f t="shared" ref="BI10:BI24" si="24">IFERROR((AA10+AI10)/(Z10+AH10),"")</f>
        <v>0.83333333333333337</v>
      </c>
      <c r="BJ10" s="212">
        <f t="shared" si="17"/>
        <v>0.91666666666666663</v>
      </c>
      <c r="BK10" s="212">
        <f t="shared" si="18"/>
        <v>0.95000000000000007</v>
      </c>
      <c r="BL10" s="206">
        <f>IFERROR(BG10/BF10,"")</f>
        <v>0.95000000000000007</v>
      </c>
      <c r="BM10" s="172" t="s">
        <v>315</v>
      </c>
      <c r="BN10" s="662"/>
    </row>
    <row r="11" spans="1:67" s="152" customFormat="1" ht="123.75" customHeight="1" x14ac:dyDescent="0.3">
      <c r="A11" s="708"/>
      <c r="B11" s="715"/>
      <c r="C11" s="155" t="s">
        <v>23</v>
      </c>
      <c r="D11" s="319">
        <v>1</v>
      </c>
      <c r="E11" s="225" t="s">
        <v>195</v>
      </c>
      <c r="F11" s="24">
        <v>0</v>
      </c>
      <c r="G11" s="24">
        <v>0</v>
      </c>
      <c r="H11" s="331">
        <v>1</v>
      </c>
      <c r="I11" s="331">
        <v>1</v>
      </c>
      <c r="J11" s="225"/>
      <c r="K11" s="225"/>
      <c r="L11" s="225"/>
      <c r="M11" s="225"/>
      <c r="N11" s="225"/>
      <c r="O11" s="225"/>
      <c r="P11" s="173" t="s">
        <v>54</v>
      </c>
      <c r="Q11" s="174" t="s">
        <v>55</v>
      </c>
      <c r="R11" s="190">
        <v>0</v>
      </c>
      <c r="S11" s="190">
        <v>0</v>
      </c>
      <c r="T11" s="184">
        <v>0</v>
      </c>
      <c r="U11" s="184">
        <v>0</v>
      </c>
      <c r="V11" s="184">
        <v>0</v>
      </c>
      <c r="W11" s="184">
        <v>0</v>
      </c>
      <c r="X11" s="184">
        <v>0</v>
      </c>
      <c r="Y11" s="184">
        <v>0</v>
      </c>
      <c r="Z11" s="192">
        <f t="shared" ref="Z11:Z24" si="25">SUM(T11,V11,X11)</f>
        <v>0</v>
      </c>
      <c r="AA11" s="192">
        <f t="shared" ref="AA11:AA24" si="26">SUM(U11,W11,Y11)</f>
        <v>0</v>
      </c>
      <c r="AB11" s="184">
        <v>0</v>
      </c>
      <c r="AC11" s="184">
        <v>0</v>
      </c>
      <c r="AD11" s="202">
        <f>10/100</f>
        <v>0.1</v>
      </c>
      <c r="AE11" s="202">
        <f>10/100</f>
        <v>0.1</v>
      </c>
      <c r="AF11" s="202">
        <f>10/100</f>
        <v>0.1</v>
      </c>
      <c r="AG11" s="202">
        <f>10/100</f>
        <v>0.1</v>
      </c>
      <c r="AH11" s="203">
        <f>SUM(AB11,AD11,AF11)</f>
        <v>0.2</v>
      </c>
      <c r="AI11" s="203">
        <f t="shared" si="14"/>
        <v>0.2</v>
      </c>
      <c r="AJ11" s="202">
        <f>20/100</f>
        <v>0.2</v>
      </c>
      <c r="AK11" s="202">
        <f>15/100</f>
        <v>0.15</v>
      </c>
      <c r="AL11" s="202">
        <f>20/100</f>
        <v>0.2</v>
      </c>
      <c r="AM11" s="202">
        <f>5/100</f>
        <v>0.05</v>
      </c>
      <c r="AN11" s="202">
        <f>20/100</f>
        <v>0.2</v>
      </c>
      <c r="AO11" s="202">
        <f>20/100</f>
        <v>0.2</v>
      </c>
      <c r="AP11" s="203">
        <f t="shared" si="15"/>
        <v>0.60000000000000009</v>
      </c>
      <c r="AQ11" s="203">
        <f t="shared" si="15"/>
        <v>0.4</v>
      </c>
      <c r="AR11" s="202">
        <f>20/100</f>
        <v>0.2</v>
      </c>
      <c r="AS11" s="202">
        <v>0.1</v>
      </c>
      <c r="AT11" s="202">
        <v>0</v>
      </c>
      <c r="AU11" s="202">
        <v>0.1</v>
      </c>
      <c r="AV11" s="202">
        <v>0</v>
      </c>
      <c r="AW11" s="202">
        <v>0.2</v>
      </c>
      <c r="AX11" s="203">
        <f t="shared" si="16"/>
        <v>0.2</v>
      </c>
      <c r="AY11" s="203">
        <f>SUM(AS11,AU11,AW11)</f>
        <v>0.4</v>
      </c>
      <c r="AZ11" s="194">
        <v>100</v>
      </c>
      <c r="BA11" s="194"/>
      <c r="BB11" s="194">
        <v>100</v>
      </c>
      <c r="BC11" s="194"/>
      <c r="BD11" s="194">
        <v>100</v>
      </c>
      <c r="BE11" s="194"/>
      <c r="BF11" s="211">
        <f t="shared" si="22"/>
        <v>1</v>
      </c>
      <c r="BG11" s="211">
        <f>SUM(AA11,AI11,AQ11,AY11)</f>
        <v>1</v>
      </c>
      <c r="BH11" s="212" t="str">
        <f t="shared" si="12"/>
        <v/>
      </c>
      <c r="BI11" s="212">
        <f t="shared" si="24"/>
        <v>1</v>
      </c>
      <c r="BJ11" s="212">
        <f t="shared" si="17"/>
        <v>0.75000000000000011</v>
      </c>
      <c r="BK11" s="212">
        <f t="shared" si="18"/>
        <v>1</v>
      </c>
      <c r="BL11" s="206">
        <f t="shared" si="19"/>
        <v>1</v>
      </c>
      <c r="BM11" s="172" t="s">
        <v>316</v>
      </c>
      <c r="BN11" s="662"/>
    </row>
    <row r="12" spans="1:67" s="152" customFormat="1" ht="409.5" x14ac:dyDescent="0.3">
      <c r="A12" s="708"/>
      <c r="B12" s="715"/>
      <c r="C12" s="666" t="s">
        <v>66</v>
      </c>
      <c r="D12" s="319">
        <v>0.3</v>
      </c>
      <c r="E12" s="225" t="s">
        <v>207</v>
      </c>
      <c r="F12" s="24">
        <v>0</v>
      </c>
      <c r="G12" s="24">
        <v>0</v>
      </c>
      <c r="H12" s="331">
        <v>1</v>
      </c>
      <c r="I12" s="331">
        <v>0.9</v>
      </c>
      <c r="J12" s="225"/>
      <c r="K12" s="225"/>
      <c r="L12" s="225"/>
      <c r="M12" s="225"/>
      <c r="N12" s="225"/>
      <c r="O12" s="225"/>
      <c r="P12" s="173" t="s">
        <v>56</v>
      </c>
      <c r="Q12" s="174" t="s">
        <v>83</v>
      </c>
      <c r="R12" s="190">
        <v>0</v>
      </c>
      <c r="S12" s="190">
        <v>0</v>
      </c>
      <c r="T12" s="194">
        <v>5</v>
      </c>
      <c r="U12" s="194">
        <v>5</v>
      </c>
      <c r="V12" s="194">
        <v>30</v>
      </c>
      <c r="W12" s="194">
        <v>5</v>
      </c>
      <c r="X12" s="194">
        <v>0</v>
      </c>
      <c r="Y12" s="194">
        <v>5</v>
      </c>
      <c r="Z12" s="195">
        <f>SUM(T12,V12,X12)</f>
        <v>35</v>
      </c>
      <c r="AA12" s="195">
        <f>SUM(U12,W12,Y12)</f>
        <v>15</v>
      </c>
      <c r="AB12" s="194">
        <v>10</v>
      </c>
      <c r="AC12" s="194">
        <v>10</v>
      </c>
      <c r="AD12" s="194">
        <v>5</v>
      </c>
      <c r="AE12" s="194">
        <v>25</v>
      </c>
      <c r="AF12" s="194">
        <v>5</v>
      </c>
      <c r="AG12" s="194">
        <v>20</v>
      </c>
      <c r="AH12" s="185">
        <f>SUM(AB12,AD12,AF12)</f>
        <v>20</v>
      </c>
      <c r="AI12" s="185">
        <f>SUM(AC12,AE12,AG12)</f>
        <v>55</v>
      </c>
      <c r="AJ12" s="194">
        <v>5</v>
      </c>
      <c r="AK12" s="194">
        <v>5</v>
      </c>
      <c r="AL12" s="194">
        <v>10</v>
      </c>
      <c r="AM12" s="194">
        <v>5</v>
      </c>
      <c r="AN12" s="194">
        <v>10</v>
      </c>
      <c r="AO12" s="194">
        <v>5</v>
      </c>
      <c r="AP12" s="185">
        <f>SUM(AJ12,AL12,AN12)</f>
        <v>25</v>
      </c>
      <c r="AQ12" s="185">
        <f>SUM(AK12,AM12,AO12)</f>
        <v>15</v>
      </c>
      <c r="AR12" s="194">
        <v>10</v>
      </c>
      <c r="AS12" s="194">
        <v>5</v>
      </c>
      <c r="AT12" s="194">
        <v>5</v>
      </c>
      <c r="AU12" s="194">
        <v>0</v>
      </c>
      <c r="AV12" s="194">
        <v>5</v>
      </c>
      <c r="AW12" s="194">
        <v>0</v>
      </c>
      <c r="AX12" s="195">
        <f>SUM(AR12,AT12,AV12)</f>
        <v>20</v>
      </c>
      <c r="AY12" s="195">
        <f>SUM(AS12,AU12,AW12)</f>
        <v>5</v>
      </c>
      <c r="AZ12" s="194">
        <v>100</v>
      </c>
      <c r="BA12" s="194"/>
      <c r="BB12" s="194">
        <v>100</v>
      </c>
      <c r="BC12" s="194"/>
      <c r="BD12" s="194">
        <v>100</v>
      </c>
      <c r="BE12" s="194"/>
      <c r="BF12" s="214">
        <f t="shared" si="22"/>
        <v>100</v>
      </c>
      <c r="BG12" s="214">
        <f t="shared" si="22"/>
        <v>90</v>
      </c>
      <c r="BH12" s="212">
        <f t="shared" si="12"/>
        <v>0.42857142857142855</v>
      </c>
      <c r="BI12" s="212">
        <f t="shared" si="24"/>
        <v>1.2727272727272727</v>
      </c>
      <c r="BJ12" s="212">
        <f>IFERROR((AA12+AI12+AQ12)/(Z12+AH12+AP12),"")</f>
        <v>1.0625</v>
      </c>
      <c r="BK12" s="212">
        <f t="shared" si="18"/>
        <v>0.9</v>
      </c>
      <c r="BL12" s="206">
        <f>IFERROR(BG12/BF12,"")</f>
        <v>0.9</v>
      </c>
      <c r="BM12" s="172" t="s">
        <v>317</v>
      </c>
      <c r="BN12" s="662"/>
    </row>
    <row r="13" spans="1:67" s="152" customFormat="1" ht="120.75" customHeight="1" x14ac:dyDescent="0.3">
      <c r="A13" s="708"/>
      <c r="B13" s="715"/>
      <c r="C13" s="668"/>
      <c r="D13" s="319">
        <v>0.35</v>
      </c>
      <c r="E13" s="225" t="s">
        <v>194</v>
      </c>
      <c r="F13" s="24">
        <v>0</v>
      </c>
      <c r="G13" s="24">
        <v>0</v>
      </c>
      <c r="H13" s="331">
        <v>1</v>
      </c>
      <c r="I13" s="318">
        <v>0.96</v>
      </c>
      <c r="J13" s="225"/>
      <c r="K13" s="225"/>
      <c r="L13" s="225"/>
      <c r="M13" s="225"/>
      <c r="N13" s="225"/>
      <c r="O13" s="225"/>
      <c r="P13" s="173" t="s">
        <v>57</v>
      </c>
      <c r="Q13" s="174" t="s">
        <v>58</v>
      </c>
      <c r="R13" s="196">
        <v>100</v>
      </c>
      <c r="S13" s="190">
        <v>0</v>
      </c>
      <c r="T13" s="183">
        <v>0</v>
      </c>
      <c r="U13" s="183">
        <v>0</v>
      </c>
      <c r="V13" s="183">
        <v>0</v>
      </c>
      <c r="W13" s="183">
        <v>0</v>
      </c>
      <c r="X13" s="183">
        <v>0</v>
      </c>
      <c r="Y13" s="183">
        <v>0</v>
      </c>
      <c r="Z13" s="191">
        <f t="shared" si="25"/>
        <v>0</v>
      </c>
      <c r="AA13" s="191">
        <f t="shared" si="26"/>
        <v>0</v>
      </c>
      <c r="AB13" s="183">
        <v>0</v>
      </c>
      <c r="AC13" s="183">
        <v>0</v>
      </c>
      <c r="AD13" s="183">
        <v>0</v>
      </c>
      <c r="AE13" s="183">
        <v>0</v>
      </c>
      <c r="AF13" s="202">
        <v>1</v>
      </c>
      <c r="AG13" s="202">
        <v>0.95</v>
      </c>
      <c r="AH13" s="208">
        <f t="shared" ref="AH13:AH24" si="27">SUM(AB13,AD13,AF13)</f>
        <v>1</v>
      </c>
      <c r="AI13" s="208">
        <f t="shared" ref="AI13:AI24" si="28">SUM(AC13,AE13,AG13)</f>
        <v>0.95</v>
      </c>
      <c r="AJ13" s="183">
        <v>0</v>
      </c>
      <c r="AK13" s="202"/>
      <c r="AL13" s="202">
        <v>0</v>
      </c>
      <c r="AM13" s="202"/>
      <c r="AN13" s="202">
        <v>0</v>
      </c>
      <c r="AO13" s="202"/>
      <c r="AP13" s="208">
        <f t="shared" ref="AP13:AP24" si="29">SUM(AJ13,AL13,AN13)</f>
        <v>0</v>
      </c>
      <c r="AQ13" s="208">
        <f t="shared" ref="AQ13:AQ24" si="30">SUM(AK13,AM13,AO13)</f>
        <v>0</v>
      </c>
      <c r="AR13" s="202">
        <v>0</v>
      </c>
      <c r="AS13" s="202">
        <v>0.01</v>
      </c>
      <c r="AT13" s="202">
        <v>0</v>
      </c>
      <c r="AU13" s="202">
        <v>0</v>
      </c>
      <c r="AV13" s="202">
        <v>0</v>
      </c>
      <c r="AW13" s="202">
        <v>0</v>
      </c>
      <c r="AX13" s="208">
        <f t="shared" ref="AX13:BE24" si="31">SUM(AR13,AT13,AV13)</f>
        <v>0</v>
      </c>
      <c r="AY13" s="208">
        <f t="shared" ref="AY13:AY24" si="32">SUM(AS13,AU13,AW13)</f>
        <v>0.01</v>
      </c>
      <c r="AZ13" s="202">
        <f>100/100</f>
        <v>1</v>
      </c>
      <c r="BA13" s="202"/>
      <c r="BB13" s="202">
        <f>100/100</f>
        <v>1</v>
      </c>
      <c r="BC13" s="202"/>
      <c r="BD13" s="202">
        <f>100/100</f>
        <v>1</v>
      </c>
      <c r="BE13" s="163"/>
      <c r="BF13" s="211">
        <f t="shared" si="22"/>
        <v>1</v>
      </c>
      <c r="BG13" s="211">
        <f>SUM(AA13,AI13,AQ13,AY13)</f>
        <v>0.96</v>
      </c>
      <c r="BH13" s="212" t="str">
        <f t="shared" si="12"/>
        <v/>
      </c>
      <c r="BI13" s="212">
        <f t="shared" si="24"/>
        <v>0.95</v>
      </c>
      <c r="BJ13" s="212">
        <f t="shared" si="17"/>
        <v>0.95</v>
      </c>
      <c r="BK13" s="212">
        <f t="shared" si="18"/>
        <v>0.96</v>
      </c>
      <c r="BL13" s="206">
        <f t="shared" si="19"/>
        <v>0.96</v>
      </c>
      <c r="BM13" s="172" t="s">
        <v>318</v>
      </c>
      <c r="BN13" s="662"/>
    </row>
    <row r="14" spans="1:67" s="152" customFormat="1" ht="175.5" x14ac:dyDescent="0.3">
      <c r="A14" s="708"/>
      <c r="B14" s="715"/>
      <c r="C14" s="667"/>
      <c r="D14" s="319">
        <v>0.35</v>
      </c>
      <c r="E14" s="225" t="s">
        <v>193</v>
      </c>
      <c r="F14" s="24">
        <v>0</v>
      </c>
      <c r="G14" s="24">
        <v>0</v>
      </c>
      <c r="H14" s="331">
        <v>1</v>
      </c>
      <c r="I14" s="318">
        <v>1</v>
      </c>
      <c r="J14" s="225"/>
      <c r="K14" s="225"/>
      <c r="L14" s="225"/>
      <c r="M14" s="225"/>
      <c r="N14" s="225"/>
      <c r="O14" s="225"/>
      <c r="P14" s="173" t="s">
        <v>59</v>
      </c>
      <c r="Q14" s="174" t="s">
        <v>60</v>
      </c>
      <c r="R14" s="196">
        <v>0</v>
      </c>
      <c r="S14" s="196">
        <v>0</v>
      </c>
      <c r="T14" s="184">
        <v>0</v>
      </c>
      <c r="U14" s="184">
        <v>0</v>
      </c>
      <c r="V14" s="184">
        <v>0</v>
      </c>
      <c r="W14" s="184">
        <v>0</v>
      </c>
      <c r="X14" s="202">
        <f>10/100</f>
        <v>0.1</v>
      </c>
      <c r="Y14" s="202">
        <f>10/100</f>
        <v>0.1</v>
      </c>
      <c r="Z14" s="208">
        <f t="shared" si="25"/>
        <v>0.1</v>
      </c>
      <c r="AA14" s="208">
        <f t="shared" si="26"/>
        <v>0.1</v>
      </c>
      <c r="AB14" s="202">
        <f t="shared" ref="AB14:AG14" si="33">10/100</f>
        <v>0.1</v>
      </c>
      <c r="AC14" s="202">
        <f t="shared" si="33"/>
        <v>0.1</v>
      </c>
      <c r="AD14" s="202">
        <f t="shared" si="33"/>
        <v>0.1</v>
      </c>
      <c r="AE14" s="202">
        <f t="shared" si="33"/>
        <v>0.1</v>
      </c>
      <c r="AF14" s="202">
        <f t="shared" si="33"/>
        <v>0.1</v>
      </c>
      <c r="AG14" s="202">
        <f t="shared" si="33"/>
        <v>0.1</v>
      </c>
      <c r="AH14" s="208">
        <f t="shared" si="27"/>
        <v>0.30000000000000004</v>
      </c>
      <c r="AI14" s="208">
        <f t="shared" si="28"/>
        <v>0.30000000000000004</v>
      </c>
      <c r="AJ14" s="202">
        <f t="shared" ref="AJ14:AK14" si="34">10/100</f>
        <v>0.1</v>
      </c>
      <c r="AK14" s="202">
        <f t="shared" si="34"/>
        <v>0.1</v>
      </c>
      <c r="AL14" s="202">
        <f t="shared" ref="AL14:AM14" si="35">10/100</f>
        <v>0.1</v>
      </c>
      <c r="AM14" s="202">
        <f t="shared" si="35"/>
        <v>0.1</v>
      </c>
      <c r="AN14" s="202">
        <f t="shared" ref="AN14:AO14" si="36">10/100</f>
        <v>0.1</v>
      </c>
      <c r="AO14" s="202">
        <f t="shared" si="36"/>
        <v>0.1</v>
      </c>
      <c r="AP14" s="208">
        <f t="shared" si="29"/>
        <v>0.30000000000000004</v>
      </c>
      <c r="AQ14" s="208">
        <f t="shared" si="30"/>
        <v>0.30000000000000004</v>
      </c>
      <c r="AR14" s="202">
        <f t="shared" ref="AR14:AW14" si="37">10/100</f>
        <v>0.1</v>
      </c>
      <c r="AS14" s="202">
        <f t="shared" si="37"/>
        <v>0.1</v>
      </c>
      <c r="AT14" s="202">
        <f t="shared" si="37"/>
        <v>0.1</v>
      </c>
      <c r="AU14" s="202">
        <f t="shared" si="37"/>
        <v>0.1</v>
      </c>
      <c r="AV14" s="202">
        <f t="shared" si="37"/>
        <v>0.1</v>
      </c>
      <c r="AW14" s="202">
        <f t="shared" si="37"/>
        <v>0.1</v>
      </c>
      <c r="AX14" s="208">
        <f t="shared" si="31"/>
        <v>0.30000000000000004</v>
      </c>
      <c r="AY14" s="208">
        <f t="shared" si="32"/>
        <v>0.30000000000000004</v>
      </c>
      <c r="AZ14" s="202">
        <f>100/100</f>
        <v>1</v>
      </c>
      <c r="BA14" s="202"/>
      <c r="BB14" s="202">
        <f>100/100</f>
        <v>1</v>
      </c>
      <c r="BC14" s="202"/>
      <c r="BD14" s="202">
        <f>100/100</f>
        <v>1</v>
      </c>
      <c r="BE14" s="163"/>
      <c r="BF14" s="211">
        <f t="shared" si="22"/>
        <v>1</v>
      </c>
      <c r="BG14" s="211">
        <f t="shared" si="23"/>
        <v>1</v>
      </c>
      <c r="BH14" s="212">
        <f t="shared" si="12"/>
        <v>1</v>
      </c>
      <c r="BI14" s="212">
        <f t="shared" si="24"/>
        <v>1</v>
      </c>
      <c r="BJ14" s="212">
        <f t="shared" si="17"/>
        <v>1</v>
      </c>
      <c r="BK14" s="212">
        <f t="shared" si="18"/>
        <v>1</v>
      </c>
      <c r="BL14" s="206">
        <f t="shared" si="19"/>
        <v>1</v>
      </c>
      <c r="BM14" s="172" t="s">
        <v>319</v>
      </c>
      <c r="BN14" s="662"/>
    </row>
    <row r="15" spans="1:67" s="152" customFormat="1" ht="81" customHeight="1" x14ac:dyDescent="0.3">
      <c r="A15" s="708" t="s">
        <v>47</v>
      </c>
      <c r="B15" s="715"/>
      <c r="C15" s="155" t="s">
        <v>188</v>
      </c>
      <c r="D15" s="319">
        <v>1</v>
      </c>
      <c r="E15" s="225" t="s">
        <v>198</v>
      </c>
      <c r="F15" s="307">
        <v>0</v>
      </c>
      <c r="G15" s="307">
        <v>0</v>
      </c>
      <c r="H15" s="307">
        <v>4</v>
      </c>
      <c r="I15" s="307">
        <v>4</v>
      </c>
      <c r="J15" s="225"/>
      <c r="K15" s="225"/>
      <c r="L15" s="225"/>
      <c r="M15" s="225"/>
      <c r="N15" s="225"/>
      <c r="O15" s="225"/>
      <c r="P15" s="175" t="s">
        <v>62</v>
      </c>
      <c r="Q15" s="176" t="s">
        <v>63</v>
      </c>
      <c r="R15" s="307">
        <v>0</v>
      </c>
      <c r="S15" s="307">
        <v>0</v>
      </c>
      <c r="T15" s="154">
        <v>0</v>
      </c>
      <c r="U15" s="154">
        <v>0</v>
      </c>
      <c r="V15" s="154">
        <v>0</v>
      </c>
      <c r="W15" s="154">
        <v>0</v>
      </c>
      <c r="X15" s="154">
        <v>1</v>
      </c>
      <c r="Y15" s="154">
        <v>1</v>
      </c>
      <c r="Z15" s="156">
        <f t="shared" si="25"/>
        <v>1</v>
      </c>
      <c r="AA15" s="156">
        <f t="shared" si="26"/>
        <v>1</v>
      </c>
      <c r="AB15" s="154">
        <v>0</v>
      </c>
      <c r="AC15" s="154">
        <v>0</v>
      </c>
      <c r="AD15" s="154">
        <v>0</v>
      </c>
      <c r="AE15" s="154">
        <v>0</v>
      </c>
      <c r="AF15" s="154">
        <v>1</v>
      </c>
      <c r="AG15" s="154">
        <v>1</v>
      </c>
      <c r="AH15" s="156">
        <f t="shared" si="27"/>
        <v>1</v>
      </c>
      <c r="AI15" s="156">
        <f t="shared" si="28"/>
        <v>1</v>
      </c>
      <c r="AJ15" s="154">
        <v>0</v>
      </c>
      <c r="AK15" s="154">
        <v>0</v>
      </c>
      <c r="AL15" s="154">
        <v>1</v>
      </c>
      <c r="AM15" s="154">
        <v>0</v>
      </c>
      <c r="AN15" s="154">
        <v>0</v>
      </c>
      <c r="AO15" s="154">
        <v>2</v>
      </c>
      <c r="AP15" s="156">
        <f t="shared" si="29"/>
        <v>1</v>
      </c>
      <c r="AQ15" s="156">
        <f t="shared" si="30"/>
        <v>2</v>
      </c>
      <c r="AR15" s="154">
        <v>1</v>
      </c>
      <c r="AS15" s="154">
        <v>0</v>
      </c>
      <c r="AT15" s="154">
        <v>0</v>
      </c>
      <c r="AU15" s="154">
        <v>0</v>
      </c>
      <c r="AV15" s="154">
        <v>0</v>
      </c>
      <c r="AW15" s="154">
        <v>0</v>
      </c>
      <c r="AX15" s="156">
        <f t="shared" si="31"/>
        <v>1</v>
      </c>
      <c r="AY15" s="156">
        <f>SUM(AS15,AU15,AW15)</f>
        <v>0</v>
      </c>
      <c r="AZ15" s="158">
        <v>4</v>
      </c>
      <c r="BA15" s="158"/>
      <c r="BB15" s="158">
        <v>4</v>
      </c>
      <c r="BC15" s="158"/>
      <c r="BD15" s="158">
        <v>4</v>
      </c>
      <c r="BE15" s="158"/>
      <c r="BF15" s="215">
        <f>SUM(Z15,AH15,AP15,AX15)</f>
        <v>4</v>
      </c>
      <c r="BG15" s="215">
        <f t="shared" si="23"/>
        <v>4</v>
      </c>
      <c r="BH15" s="212">
        <f t="shared" si="12"/>
        <v>1</v>
      </c>
      <c r="BI15" s="212">
        <f t="shared" si="24"/>
        <v>1</v>
      </c>
      <c r="BJ15" s="212">
        <f t="shared" si="17"/>
        <v>1.3333333333333333</v>
      </c>
      <c r="BK15" s="212">
        <f t="shared" si="18"/>
        <v>1</v>
      </c>
      <c r="BL15" s="206">
        <f>IFERROR(BG15/BF15,"")</f>
        <v>1</v>
      </c>
      <c r="BM15" s="172" t="s">
        <v>320</v>
      </c>
      <c r="BN15" s="662"/>
    </row>
    <row r="16" spans="1:67" s="152" customFormat="1" ht="81" customHeight="1" x14ac:dyDescent="0.3">
      <c r="A16" s="708"/>
      <c r="B16" s="716"/>
      <c r="C16" s="155" t="s">
        <v>67</v>
      </c>
      <c r="D16" s="319">
        <v>1</v>
      </c>
      <c r="E16" s="225" t="s">
        <v>208</v>
      </c>
      <c r="F16" s="307">
        <v>0</v>
      </c>
      <c r="G16" s="307">
        <v>0</v>
      </c>
      <c r="H16" s="307">
        <v>11</v>
      </c>
      <c r="I16" s="307">
        <v>12</v>
      </c>
      <c r="J16" s="225"/>
      <c r="K16" s="225"/>
      <c r="L16" s="225"/>
      <c r="M16" s="225"/>
      <c r="N16" s="225"/>
      <c r="O16" s="225"/>
      <c r="P16" s="177" t="s">
        <v>109</v>
      </c>
      <c r="Q16" s="178" t="s">
        <v>64</v>
      </c>
      <c r="R16" s="307">
        <v>0</v>
      </c>
      <c r="S16" s="307">
        <v>0</v>
      </c>
      <c r="T16" s="154">
        <v>0</v>
      </c>
      <c r="U16" s="154">
        <v>0</v>
      </c>
      <c r="V16" s="154">
        <v>0</v>
      </c>
      <c r="W16" s="154">
        <v>0</v>
      </c>
      <c r="X16" s="154">
        <v>0</v>
      </c>
      <c r="Y16" s="154">
        <v>0</v>
      </c>
      <c r="Z16" s="156">
        <f t="shared" si="25"/>
        <v>0</v>
      </c>
      <c r="AA16" s="230">
        <f t="shared" si="26"/>
        <v>0</v>
      </c>
      <c r="AB16" s="154">
        <v>0</v>
      </c>
      <c r="AC16" s="154">
        <v>0</v>
      </c>
      <c r="AD16" s="154">
        <v>0</v>
      </c>
      <c r="AE16" s="154">
        <v>0</v>
      </c>
      <c r="AF16" s="154">
        <v>1</v>
      </c>
      <c r="AG16" s="231">
        <v>0</v>
      </c>
      <c r="AH16" s="156">
        <f t="shared" si="27"/>
        <v>1</v>
      </c>
      <c r="AI16" s="156">
        <f t="shared" si="28"/>
        <v>0</v>
      </c>
      <c r="AJ16" s="154">
        <v>0</v>
      </c>
      <c r="AK16" s="154">
        <v>0</v>
      </c>
      <c r="AL16" s="154">
        <v>0</v>
      </c>
      <c r="AM16" s="159">
        <v>0</v>
      </c>
      <c r="AN16" s="154">
        <v>10</v>
      </c>
      <c r="AO16" s="159">
        <v>12</v>
      </c>
      <c r="AP16" s="156">
        <f t="shared" si="29"/>
        <v>10</v>
      </c>
      <c r="AQ16" s="156">
        <f t="shared" si="30"/>
        <v>12</v>
      </c>
      <c r="AR16" s="154">
        <v>0</v>
      </c>
      <c r="AS16" s="160"/>
      <c r="AT16" s="154">
        <v>0</v>
      </c>
      <c r="AU16" s="160"/>
      <c r="AV16" s="154">
        <v>0</v>
      </c>
      <c r="AW16" s="160"/>
      <c r="AX16" s="156">
        <f t="shared" si="31"/>
        <v>0</v>
      </c>
      <c r="AY16" s="156">
        <f t="shared" si="32"/>
        <v>0</v>
      </c>
      <c r="AZ16" s="161">
        <v>2</v>
      </c>
      <c r="BA16" s="161"/>
      <c r="BB16" s="161">
        <v>2</v>
      </c>
      <c r="BC16" s="161"/>
      <c r="BD16" s="161">
        <v>2</v>
      </c>
      <c r="BE16" s="161"/>
      <c r="BF16" s="215">
        <f t="shared" si="22"/>
        <v>11</v>
      </c>
      <c r="BG16" s="215">
        <f t="shared" si="23"/>
        <v>12</v>
      </c>
      <c r="BH16" s="212" t="str">
        <f t="shared" si="12"/>
        <v/>
      </c>
      <c r="BI16" s="212">
        <f t="shared" si="24"/>
        <v>0</v>
      </c>
      <c r="BJ16" s="212">
        <f t="shared" si="17"/>
        <v>1.0909090909090908</v>
      </c>
      <c r="BK16" s="212">
        <f t="shared" si="18"/>
        <v>1.0909090909090908</v>
      </c>
      <c r="BL16" s="206">
        <f t="shared" si="19"/>
        <v>1.0909090909090908</v>
      </c>
      <c r="BM16" s="172" t="s">
        <v>209</v>
      </c>
      <c r="BN16" s="663"/>
    </row>
    <row r="17" spans="1:67" s="152" customFormat="1" ht="108" x14ac:dyDescent="0.3">
      <c r="A17" s="706" t="s">
        <v>48</v>
      </c>
      <c r="B17" s="712" t="s">
        <v>24</v>
      </c>
      <c r="C17" s="162" t="s">
        <v>86</v>
      </c>
      <c r="D17" s="322">
        <v>0.3</v>
      </c>
      <c r="E17" s="227" t="s">
        <v>199</v>
      </c>
      <c r="F17" s="322">
        <v>0</v>
      </c>
      <c r="G17" s="322">
        <v>0</v>
      </c>
      <c r="H17" s="333">
        <v>1</v>
      </c>
      <c r="I17" s="333">
        <v>1</v>
      </c>
      <c r="J17" s="227"/>
      <c r="K17" s="227"/>
      <c r="L17" s="227"/>
      <c r="M17" s="227"/>
      <c r="N17" s="227"/>
      <c r="O17" s="227"/>
      <c r="P17" s="177" t="s">
        <v>87</v>
      </c>
      <c r="Q17" s="178" t="s">
        <v>88</v>
      </c>
      <c r="R17" s="198">
        <v>0</v>
      </c>
      <c r="S17" s="198">
        <v>0</v>
      </c>
      <c r="T17" s="205">
        <f t="shared" ref="T17:Y17" si="38">1/12</f>
        <v>8.3333333333333329E-2</v>
      </c>
      <c r="U17" s="205">
        <f t="shared" si="38"/>
        <v>8.3333333333333329E-2</v>
      </c>
      <c r="V17" s="205">
        <f t="shared" si="38"/>
        <v>8.3333333333333329E-2</v>
      </c>
      <c r="W17" s="205">
        <f t="shared" si="38"/>
        <v>8.3333333333333329E-2</v>
      </c>
      <c r="X17" s="205">
        <f t="shared" si="38"/>
        <v>8.3333333333333329E-2</v>
      </c>
      <c r="Y17" s="205">
        <f t="shared" si="38"/>
        <v>8.3333333333333329E-2</v>
      </c>
      <c r="Z17" s="203">
        <f t="shared" si="25"/>
        <v>0.25</v>
      </c>
      <c r="AA17" s="203">
        <f t="shared" si="26"/>
        <v>0.25</v>
      </c>
      <c r="AB17" s="205">
        <f t="shared" ref="AB17:AG17" si="39">1/12</f>
        <v>8.3333333333333329E-2</v>
      </c>
      <c r="AC17" s="205">
        <f t="shared" si="39"/>
        <v>8.3333333333333329E-2</v>
      </c>
      <c r="AD17" s="205">
        <f t="shared" si="39"/>
        <v>8.3333333333333329E-2</v>
      </c>
      <c r="AE17" s="205">
        <f t="shared" si="39"/>
        <v>8.3333333333333329E-2</v>
      </c>
      <c r="AF17" s="205">
        <f t="shared" si="39"/>
        <v>8.3333333333333329E-2</v>
      </c>
      <c r="AG17" s="205">
        <f t="shared" si="39"/>
        <v>8.3333333333333329E-2</v>
      </c>
      <c r="AH17" s="203">
        <f t="shared" si="27"/>
        <v>0.25</v>
      </c>
      <c r="AI17" s="203">
        <f t="shared" si="28"/>
        <v>0.25</v>
      </c>
      <c r="AJ17" s="205">
        <f t="shared" ref="AJ17:AO17" si="40">1/12</f>
        <v>8.3333333333333329E-2</v>
      </c>
      <c r="AK17" s="205">
        <f t="shared" si="40"/>
        <v>8.3333333333333329E-2</v>
      </c>
      <c r="AL17" s="205">
        <f t="shared" si="40"/>
        <v>8.3333333333333329E-2</v>
      </c>
      <c r="AM17" s="205">
        <f t="shared" si="40"/>
        <v>8.3333333333333329E-2</v>
      </c>
      <c r="AN17" s="205">
        <f t="shared" si="40"/>
        <v>8.3333333333333329E-2</v>
      </c>
      <c r="AO17" s="205">
        <f t="shared" si="40"/>
        <v>8.3333333333333329E-2</v>
      </c>
      <c r="AP17" s="203">
        <f t="shared" si="29"/>
        <v>0.25</v>
      </c>
      <c r="AQ17" s="203">
        <f t="shared" si="30"/>
        <v>0.25</v>
      </c>
      <c r="AR17" s="205">
        <f>1/12</f>
        <v>8.3333333333333329E-2</v>
      </c>
      <c r="AS17" s="205">
        <f>1/12</f>
        <v>8.3333333333333329E-2</v>
      </c>
      <c r="AT17" s="205">
        <f>1/12</f>
        <v>8.3333333333333329E-2</v>
      </c>
      <c r="AU17" s="204">
        <v>7.8E-2</v>
      </c>
      <c r="AV17" s="205">
        <f>1/12</f>
        <v>8.3333333333333329E-2</v>
      </c>
      <c r="AW17" s="205">
        <v>6.7000000000000004E-2</v>
      </c>
      <c r="AX17" s="156">
        <f t="shared" si="31"/>
        <v>0.25</v>
      </c>
      <c r="AY17" s="156">
        <f t="shared" si="32"/>
        <v>0.22833333333333333</v>
      </c>
      <c r="AZ17" s="209">
        <f>100/100</f>
        <v>1</v>
      </c>
      <c r="BA17" s="161"/>
      <c r="BB17" s="209">
        <f>100/100</f>
        <v>1</v>
      </c>
      <c r="BC17" s="161"/>
      <c r="BD17" s="209">
        <f>100/100</f>
        <v>1</v>
      </c>
      <c r="BE17" s="161"/>
      <c r="BF17" s="211">
        <f>SUM(Z17,AH17,AP17,AX17)</f>
        <v>1</v>
      </c>
      <c r="BG17" s="211">
        <f>SUM(AA17,AI17,AQ17,AY17)</f>
        <v>0.97833333333333328</v>
      </c>
      <c r="BH17" s="212">
        <f t="shared" si="12"/>
        <v>1</v>
      </c>
      <c r="BI17" s="212">
        <f t="shared" si="24"/>
        <v>1</v>
      </c>
      <c r="BJ17" s="212">
        <f t="shared" si="17"/>
        <v>1</v>
      </c>
      <c r="BK17" s="212">
        <f t="shared" si="18"/>
        <v>0.97833333333333328</v>
      </c>
      <c r="BL17" s="206">
        <f t="shared" si="19"/>
        <v>0.97833333333333328</v>
      </c>
      <c r="BM17" s="172" t="s">
        <v>321</v>
      </c>
      <c r="BN17" s="664">
        <f>AVERAGE(BL17:BL18)</f>
        <v>0.98916666666666664</v>
      </c>
    </row>
    <row r="18" spans="1:67" s="152" customFormat="1" ht="409.5" x14ac:dyDescent="0.3">
      <c r="A18" s="706"/>
      <c r="B18" s="713"/>
      <c r="C18" s="162" t="s">
        <v>25</v>
      </c>
      <c r="D18" s="322">
        <v>0.7</v>
      </c>
      <c r="E18" s="227" t="s">
        <v>200</v>
      </c>
      <c r="F18" s="322">
        <v>0</v>
      </c>
      <c r="G18" s="322">
        <v>0</v>
      </c>
      <c r="H18" s="332">
        <v>1</v>
      </c>
      <c r="I18" s="332">
        <v>1</v>
      </c>
      <c r="J18" s="227"/>
      <c r="K18" s="227"/>
      <c r="L18" s="227"/>
      <c r="M18" s="227"/>
      <c r="N18" s="227"/>
      <c r="O18" s="227"/>
      <c r="P18" s="177" t="s">
        <v>85</v>
      </c>
      <c r="Q18" s="178" t="s">
        <v>90</v>
      </c>
      <c r="R18" s="199">
        <v>0</v>
      </c>
      <c r="S18" s="199">
        <v>0</v>
      </c>
      <c r="T18" s="184">
        <v>1</v>
      </c>
      <c r="U18" s="184">
        <v>1</v>
      </c>
      <c r="V18" s="184">
        <v>1</v>
      </c>
      <c r="W18" s="184">
        <v>1</v>
      </c>
      <c r="X18" s="184">
        <v>1</v>
      </c>
      <c r="Y18" s="184">
        <v>1</v>
      </c>
      <c r="Z18" s="193">
        <f t="shared" si="25"/>
        <v>3</v>
      </c>
      <c r="AA18" s="193">
        <f t="shared" si="26"/>
        <v>3</v>
      </c>
      <c r="AB18" s="184">
        <v>1</v>
      </c>
      <c r="AC18" s="184">
        <v>1</v>
      </c>
      <c r="AD18" s="184">
        <v>1</v>
      </c>
      <c r="AE18" s="184">
        <v>1</v>
      </c>
      <c r="AF18" s="184">
        <v>1</v>
      </c>
      <c r="AG18" s="184">
        <v>1</v>
      </c>
      <c r="AH18" s="193">
        <f t="shared" si="27"/>
        <v>3</v>
      </c>
      <c r="AI18" s="193">
        <f t="shared" si="28"/>
        <v>3</v>
      </c>
      <c r="AJ18" s="184">
        <v>1</v>
      </c>
      <c r="AK18" s="184">
        <v>1</v>
      </c>
      <c r="AL18" s="184">
        <v>1</v>
      </c>
      <c r="AM18" s="184">
        <v>1</v>
      </c>
      <c r="AN18" s="184">
        <v>1</v>
      </c>
      <c r="AO18" s="184">
        <v>1</v>
      </c>
      <c r="AP18" s="193">
        <f t="shared" si="29"/>
        <v>3</v>
      </c>
      <c r="AQ18" s="193">
        <f t="shared" si="30"/>
        <v>3</v>
      </c>
      <c r="AR18" s="184">
        <v>1</v>
      </c>
      <c r="AS18" s="184">
        <v>1</v>
      </c>
      <c r="AT18" s="184">
        <v>1</v>
      </c>
      <c r="AU18" s="184">
        <v>1</v>
      </c>
      <c r="AV18" s="184">
        <v>1</v>
      </c>
      <c r="AW18" s="184">
        <v>1</v>
      </c>
      <c r="AX18" s="193">
        <f t="shared" si="31"/>
        <v>3</v>
      </c>
      <c r="AY18" s="193">
        <f t="shared" si="32"/>
        <v>3</v>
      </c>
      <c r="AZ18" s="221">
        <v>1</v>
      </c>
      <c r="BA18" s="222"/>
      <c r="BB18" s="221">
        <v>2</v>
      </c>
      <c r="BC18" s="221"/>
      <c r="BD18" s="221">
        <v>2</v>
      </c>
      <c r="BE18" s="222"/>
      <c r="BF18" s="214">
        <f>SUM(Z18,AH18,AP18,AX18)</f>
        <v>12</v>
      </c>
      <c r="BG18" s="214">
        <f t="shared" si="23"/>
        <v>12</v>
      </c>
      <c r="BH18" s="212">
        <f t="shared" si="12"/>
        <v>1</v>
      </c>
      <c r="BI18" s="212">
        <f t="shared" si="24"/>
        <v>1</v>
      </c>
      <c r="BJ18" s="212">
        <f t="shared" si="17"/>
        <v>1</v>
      </c>
      <c r="BK18" s="212">
        <f t="shared" si="18"/>
        <v>1</v>
      </c>
      <c r="BL18" s="206">
        <f>IFERROR(BG18/BF18,"")</f>
        <v>1</v>
      </c>
      <c r="BM18" s="172" t="s">
        <v>322</v>
      </c>
      <c r="BN18" s="665"/>
    </row>
    <row r="19" spans="1:67" s="152" customFormat="1" ht="310.5" x14ac:dyDescent="0.3">
      <c r="A19" s="707" t="s">
        <v>93</v>
      </c>
      <c r="B19" s="709" t="s">
        <v>0</v>
      </c>
      <c r="C19" s="157" t="s">
        <v>95</v>
      </c>
      <c r="D19" s="323">
        <v>0.35</v>
      </c>
      <c r="E19" s="226" t="s">
        <v>201</v>
      </c>
      <c r="F19" s="58">
        <v>200</v>
      </c>
      <c r="G19" s="58">
        <v>200</v>
      </c>
      <c r="H19" s="226">
        <v>200</v>
      </c>
      <c r="I19" s="226"/>
      <c r="J19" s="226">
        <v>200</v>
      </c>
      <c r="K19" s="226"/>
      <c r="L19" s="226">
        <v>200</v>
      </c>
      <c r="M19" s="226"/>
      <c r="N19" s="226">
        <v>200</v>
      </c>
      <c r="O19" s="226"/>
      <c r="P19" s="179" t="s">
        <v>97</v>
      </c>
      <c r="Q19" s="179" t="s">
        <v>96</v>
      </c>
      <c r="R19" s="308">
        <v>200</v>
      </c>
      <c r="S19" s="308">
        <v>200</v>
      </c>
      <c r="T19" s="186">
        <v>65</v>
      </c>
      <c r="U19" s="186">
        <v>72</v>
      </c>
      <c r="V19" s="186">
        <v>75</v>
      </c>
      <c r="W19" s="186">
        <v>57</v>
      </c>
      <c r="X19" s="186">
        <v>62</v>
      </c>
      <c r="Y19" s="186">
        <v>87</v>
      </c>
      <c r="Z19" s="187">
        <f>SUM(T19,V19,X19)</f>
        <v>202</v>
      </c>
      <c r="AA19" s="187">
        <f>SUM(U19,W19,Y19)</f>
        <v>216</v>
      </c>
      <c r="AB19" s="186">
        <v>68</v>
      </c>
      <c r="AC19" s="186">
        <v>76</v>
      </c>
      <c r="AD19" s="186">
        <v>71</v>
      </c>
      <c r="AE19" s="186">
        <v>115</v>
      </c>
      <c r="AF19" s="186">
        <v>46</v>
      </c>
      <c r="AG19" s="186">
        <v>46</v>
      </c>
      <c r="AH19" s="187">
        <f>SUM(AB19,AD19,AF19)</f>
        <v>185</v>
      </c>
      <c r="AI19" s="187">
        <f>SUM(AC19,AE19,AG19)</f>
        <v>237</v>
      </c>
      <c r="AJ19" s="186">
        <v>0</v>
      </c>
      <c r="AK19" s="188">
        <v>0</v>
      </c>
      <c r="AL19" s="186">
        <v>69</v>
      </c>
      <c r="AM19" s="188">
        <v>125</v>
      </c>
      <c r="AN19" s="186">
        <v>75</v>
      </c>
      <c r="AO19" s="188">
        <v>219</v>
      </c>
      <c r="AP19" s="187">
        <f>SUM(AJ19,AL19,AN19)</f>
        <v>144</v>
      </c>
      <c r="AQ19" s="187">
        <f>SUM(AK19,AM19,AO19)</f>
        <v>344</v>
      </c>
      <c r="AR19" s="186">
        <v>65</v>
      </c>
      <c r="AS19" s="188">
        <v>197</v>
      </c>
      <c r="AT19" s="186">
        <v>73</v>
      </c>
      <c r="AU19" s="188">
        <v>223</v>
      </c>
      <c r="AV19" s="186">
        <v>62</v>
      </c>
      <c r="AW19" s="188">
        <v>62</v>
      </c>
      <c r="AX19" s="187">
        <f>SUM(AR19,AT19,AV19)</f>
        <v>200</v>
      </c>
      <c r="AY19" s="187">
        <f>SUM(AS19,AU19,AW19)</f>
        <v>482</v>
      </c>
      <c r="AZ19" s="189">
        <v>200</v>
      </c>
      <c r="BA19" s="159"/>
      <c r="BB19" s="159">
        <v>200</v>
      </c>
      <c r="BC19" s="159"/>
      <c r="BD19" s="159">
        <v>200</v>
      </c>
      <c r="BE19" s="159"/>
      <c r="BF19" s="213">
        <f>SUM(Z19,AH19,AP19,AX19)</f>
        <v>731</v>
      </c>
      <c r="BG19" s="213">
        <f>SUM(AA19,AI19,AQ19,AY19)</f>
        <v>1279</v>
      </c>
      <c r="BH19" s="212">
        <f>IFERROR(AA19/Z19,"")</f>
        <v>1.0693069306930694</v>
      </c>
      <c r="BI19" s="212">
        <f t="shared" si="24"/>
        <v>1.1705426356589148</v>
      </c>
      <c r="BJ19" s="212">
        <f t="shared" si="17"/>
        <v>1.5009416195856873</v>
      </c>
      <c r="BK19" s="212">
        <f>IFERROR((AA19+AI19+AQ19+AY19)/(Z19+AH19+AP19+AX19),"")</f>
        <v>1.749658002735978</v>
      </c>
      <c r="BL19" s="206">
        <f>IFERROR(BG19/BF19,"")</f>
        <v>1.749658002735978</v>
      </c>
      <c r="BM19" s="172" t="s">
        <v>323</v>
      </c>
      <c r="BN19" s="669">
        <f xml:space="preserve"> AVERAGE(BL19:BL21)</f>
        <v>0.69433044535643706</v>
      </c>
    </row>
    <row r="20" spans="1:67" s="152" customFormat="1" ht="243" x14ac:dyDescent="0.3">
      <c r="A20" s="707"/>
      <c r="B20" s="710"/>
      <c r="C20" s="157" t="s">
        <v>75</v>
      </c>
      <c r="D20" s="323">
        <v>0.35</v>
      </c>
      <c r="E20" s="226" t="s">
        <v>202</v>
      </c>
      <c r="F20" s="58">
        <v>1</v>
      </c>
      <c r="G20" s="58">
        <v>0</v>
      </c>
      <c r="H20" s="308">
        <v>3</v>
      </c>
      <c r="I20" s="308">
        <v>0</v>
      </c>
      <c r="J20" s="308">
        <v>3</v>
      </c>
      <c r="K20" s="226"/>
      <c r="L20" s="226">
        <v>2</v>
      </c>
      <c r="M20" s="226"/>
      <c r="N20" s="308">
        <v>0</v>
      </c>
      <c r="O20" s="226"/>
      <c r="P20" s="179" t="s">
        <v>98</v>
      </c>
      <c r="Q20" s="179" t="s">
        <v>99</v>
      </c>
      <c r="R20" s="308">
        <v>100</v>
      </c>
      <c r="S20" s="308">
        <v>0</v>
      </c>
      <c r="T20" s="154">
        <v>0</v>
      </c>
      <c r="U20" s="154">
        <v>0</v>
      </c>
      <c r="V20" s="154">
        <v>0</v>
      </c>
      <c r="W20" s="154">
        <v>0</v>
      </c>
      <c r="X20" s="154">
        <v>0</v>
      </c>
      <c r="Y20" s="154">
        <v>0</v>
      </c>
      <c r="Z20" s="156">
        <f t="shared" si="25"/>
        <v>0</v>
      </c>
      <c r="AA20" s="156">
        <f t="shared" si="26"/>
        <v>0</v>
      </c>
      <c r="AB20" s="154">
        <v>0</v>
      </c>
      <c r="AC20" s="154">
        <v>0</v>
      </c>
      <c r="AD20" s="154">
        <v>1</v>
      </c>
      <c r="AE20" s="154">
        <v>1</v>
      </c>
      <c r="AF20" s="154">
        <v>0</v>
      </c>
      <c r="AG20" s="154">
        <v>0</v>
      </c>
      <c r="AH20" s="156">
        <f t="shared" si="27"/>
        <v>1</v>
      </c>
      <c r="AI20" s="156">
        <f t="shared" si="28"/>
        <v>1</v>
      </c>
      <c r="AJ20" s="159">
        <v>0</v>
      </c>
      <c r="AK20" s="159">
        <v>0</v>
      </c>
      <c r="AL20" s="159">
        <v>0</v>
      </c>
      <c r="AM20" s="159">
        <v>0</v>
      </c>
      <c r="AN20" s="159">
        <v>0</v>
      </c>
      <c r="AO20" s="159">
        <v>0</v>
      </c>
      <c r="AP20" s="156">
        <f t="shared" si="29"/>
        <v>0</v>
      </c>
      <c r="AQ20" s="156">
        <f t="shared" si="30"/>
        <v>0</v>
      </c>
      <c r="AR20" s="159">
        <v>0</v>
      </c>
      <c r="AS20" s="159">
        <v>0</v>
      </c>
      <c r="AT20" s="159">
        <v>0</v>
      </c>
      <c r="AU20" s="159">
        <v>0</v>
      </c>
      <c r="AV20" s="159">
        <v>2</v>
      </c>
      <c r="AW20" s="159">
        <v>0</v>
      </c>
      <c r="AX20" s="156">
        <f t="shared" si="31"/>
        <v>2</v>
      </c>
      <c r="AY20" s="156">
        <f>SUM(AS20,AU20,AW20)</f>
        <v>0</v>
      </c>
      <c r="AZ20" s="159">
        <v>2</v>
      </c>
      <c r="BA20" s="159"/>
      <c r="BB20" s="159">
        <v>2</v>
      </c>
      <c r="BC20" s="159"/>
      <c r="BD20" s="159">
        <v>1</v>
      </c>
      <c r="BE20" s="159"/>
      <c r="BF20" s="215">
        <f>SUM(Z20,AH20,AP20,AX20)</f>
        <v>3</v>
      </c>
      <c r="BG20" s="215">
        <f>SUM(AA20,AI20,AQ20,AY20)</f>
        <v>1</v>
      </c>
      <c r="BH20" s="212" t="str">
        <f t="shared" si="12"/>
        <v/>
      </c>
      <c r="BI20" s="212">
        <f>IFERROR((AA20+AI20)/(Z20+AH20),"")</f>
        <v>1</v>
      </c>
      <c r="BJ20" s="212">
        <f t="shared" si="17"/>
        <v>1</v>
      </c>
      <c r="BK20" s="212">
        <f t="shared" si="18"/>
        <v>0.33333333333333331</v>
      </c>
      <c r="BL20" s="206">
        <f>IFERROR(BG20/BF20,"")</f>
        <v>0.33333333333333331</v>
      </c>
      <c r="BM20" s="172" t="s">
        <v>324</v>
      </c>
      <c r="BN20" s="670"/>
    </row>
    <row r="21" spans="1:67" s="152" customFormat="1" ht="202.5" x14ac:dyDescent="0.3">
      <c r="A21" s="707"/>
      <c r="B21" s="711"/>
      <c r="C21" s="157" t="s">
        <v>100</v>
      </c>
      <c r="D21" s="323">
        <v>0.3</v>
      </c>
      <c r="E21" s="226" t="s">
        <v>203</v>
      </c>
      <c r="F21" s="336">
        <v>145</v>
      </c>
      <c r="G21" s="336">
        <v>145</v>
      </c>
      <c r="H21" s="337">
        <v>200</v>
      </c>
      <c r="I21" s="338"/>
      <c r="J21" s="338">
        <v>200</v>
      </c>
      <c r="K21" s="338"/>
      <c r="L21" s="338">
        <v>200</v>
      </c>
      <c r="M21" s="338"/>
      <c r="N21" s="338"/>
      <c r="O21" s="338"/>
      <c r="P21" s="339" t="s">
        <v>101</v>
      </c>
      <c r="Q21" s="339" t="s">
        <v>102</v>
      </c>
      <c r="R21" s="340">
        <v>145</v>
      </c>
      <c r="S21" s="340">
        <v>145</v>
      </c>
      <c r="T21" s="341">
        <v>0</v>
      </c>
      <c r="U21" s="341">
        <v>0</v>
      </c>
      <c r="V21" s="341">
        <v>0</v>
      </c>
      <c r="W21" s="341">
        <v>0</v>
      </c>
      <c r="X21" s="341">
        <v>0</v>
      </c>
      <c r="Y21" s="341">
        <v>0</v>
      </c>
      <c r="Z21" s="342">
        <f t="shared" si="25"/>
        <v>0</v>
      </c>
      <c r="AA21" s="342">
        <f t="shared" si="26"/>
        <v>0</v>
      </c>
      <c r="AB21" s="341">
        <v>0</v>
      </c>
      <c r="AC21" s="341">
        <v>0</v>
      </c>
      <c r="AD21" s="341">
        <v>0</v>
      </c>
      <c r="AE21" s="341">
        <v>0</v>
      </c>
      <c r="AF21" s="341">
        <v>30</v>
      </c>
      <c r="AG21" s="341">
        <v>0</v>
      </c>
      <c r="AH21" s="342">
        <f>SUM(AB21,AD21,AF21)</f>
        <v>30</v>
      </c>
      <c r="AI21" s="342">
        <f t="shared" si="28"/>
        <v>0</v>
      </c>
      <c r="AJ21" s="341">
        <v>30</v>
      </c>
      <c r="AK21" s="341">
        <v>0</v>
      </c>
      <c r="AL21" s="341">
        <v>35</v>
      </c>
      <c r="AM21" s="341">
        <v>0</v>
      </c>
      <c r="AN21" s="341">
        <v>35</v>
      </c>
      <c r="AO21" s="341">
        <v>0</v>
      </c>
      <c r="AP21" s="342">
        <f>SUM(AJ21,AL21,AN21)</f>
        <v>100</v>
      </c>
      <c r="AQ21" s="342">
        <f t="shared" si="30"/>
        <v>0</v>
      </c>
      <c r="AR21" s="341">
        <v>30</v>
      </c>
      <c r="AS21" s="341">
        <v>0</v>
      </c>
      <c r="AT21" s="341">
        <v>30</v>
      </c>
      <c r="AU21" s="341">
        <v>0</v>
      </c>
      <c r="AV21" s="341">
        <v>10</v>
      </c>
      <c r="AW21" s="341">
        <v>0</v>
      </c>
      <c r="AX21" s="342">
        <f t="shared" si="31"/>
        <v>70</v>
      </c>
      <c r="AY21" s="342">
        <f t="shared" si="32"/>
        <v>0</v>
      </c>
      <c r="AZ21" s="343">
        <v>200</v>
      </c>
      <c r="BA21" s="343"/>
      <c r="BB21" s="343">
        <v>200</v>
      </c>
      <c r="BC21" s="343"/>
      <c r="BD21" s="343">
        <v>0</v>
      </c>
      <c r="BE21" s="343"/>
      <c r="BF21" s="344">
        <f>SUM(Z21,AH21,AP21,AX21)</f>
        <v>200</v>
      </c>
      <c r="BG21" s="344">
        <f>SUM(AA21,AI21,AQ21,AY21)</f>
        <v>0</v>
      </c>
      <c r="BH21" s="345" t="str">
        <f t="shared" si="12"/>
        <v/>
      </c>
      <c r="BI21" s="345">
        <f t="shared" si="24"/>
        <v>0</v>
      </c>
      <c r="BJ21" s="345">
        <f t="shared" si="17"/>
        <v>0</v>
      </c>
      <c r="BK21" s="345">
        <f t="shared" si="18"/>
        <v>0</v>
      </c>
      <c r="BL21" s="346">
        <f t="shared" si="19"/>
        <v>0</v>
      </c>
      <c r="BM21" s="347" t="s">
        <v>325</v>
      </c>
      <c r="BN21" s="670"/>
    </row>
    <row r="22" spans="1:67" s="152" customFormat="1" ht="130.5" customHeight="1" x14ac:dyDescent="0.3">
      <c r="A22" s="228" t="s">
        <v>176</v>
      </c>
      <c r="B22" s="235" t="s">
        <v>26</v>
      </c>
      <c r="C22" s="229" t="s">
        <v>308</v>
      </c>
      <c r="D22" s="236">
        <v>0.4</v>
      </c>
      <c r="E22" s="334" t="s">
        <v>311</v>
      </c>
      <c r="F22" s="376">
        <v>0</v>
      </c>
      <c r="G22" s="376">
        <v>0</v>
      </c>
      <c r="H22" s="376">
        <v>17</v>
      </c>
      <c r="I22" s="376">
        <v>19</v>
      </c>
      <c r="J22" s="363"/>
      <c r="K22" s="363"/>
      <c r="L22" s="363"/>
      <c r="M22" s="363"/>
      <c r="N22" s="363"/>
      <c r="O22" s="363"/>
      <c r="P22" s="364" t="s">
        <v>309</v>
      </c>
      <c r="Q22" s="365" t="s">
        <v>310</v>
      </c>
      <c r="R22" s="366">
        <v>0</v>
      </c>
      <c r="S22" s="366">
        <v>0</v>
      </c>
      <c r="T22" s="367">
        <v>1</v>
      </c>
      <c r="U22" s="367">
        <v>1</v>
      </c>
      <c r="V22" s="367">
        <v>1</v>
      </c>
      <c r="W22" s="367">
        <v>1</v>
      </c>
      <c r="X22" s="367">
        <v>1</v>
      </c>
      <c r="Y22" s="367">
        <v>1</v>
      </c>
      <c r="Z22" s="368">
        <f>SUM(T22,V22,X22)</f>
        <v>3</v>
      </c>
      <c r="AA22" s="368">
        <f>SUM(U22,W22,Y22)</f>
        <v>3</v>
      </c>
      <c r="AB22" s="367">
        <v>2</v>
      </c>
      <c r="AC22" s="367">
        <v>2</v>
      </c>
      <c r="AD22" s="367">
        <v>0</v>
      </c>
      <c r="AE22" s="367">
        <v>0</v>
      </c>
      <c r="AF22" s="367">
        <v>1</v>
      </c>
      <c r="AG22" s="367">
        <v>2</v>
      </c>
      <c r="AH22" s="368">
        <f>SUM(AB22,AD22,AF22)</f>
        <v>3</v>
      </c>
      <c r="AI22" s="368">
        <f>SUM(AC22,AE22,AG22)</f>
        <v>4</v>
      </c>
      <c r="AJ22" s="367">
        <v>1</v>
      </c>
      <c r="AK22" s="367">
        <v>0</v>
      </c>
      <c r="AL22" s="367">
        <v>2</v>
      </c>
      <c r="AM22" s="367">
        <v>0</v>
      </c>
      <c r="AN22" s="367">
        <v>2</v>
      </c>
      <c r="AO22" s="367">
        <v>1</v>
      </c>
      <c r="AP22" s="369">
        <f>SUM(AJ22,AL22,AN22)</f>
        <v>5</v>
      </c>
      <c r="AQ22" s="369">
        <f t="shared" si="30"/>
        <v>1</v>
      </c>
      <c r="AR22" s="367">
        <v>2</v>
      </c>
      <c r="AS22" s="367">
        <v>2</v>
      </c>
      <c r="AT22" s="367">
        <v>2</v>
      </c>
      <c r="AU22" s="367">
        <v>2</v>
      </c>
      <c r="AV22" s="367">
        <v>2</v>
      </c>
      <c r="AW22" s="367">
        <v>7</v>
      </c>
      <c r="AX22" s="369">
        <f t="shared" si="31"/>
        <v>6</v>
      </c>
      <c r="AY22" s="369">
        <f t="shared" si="31"/>
        <v>11</v>
      </c>
      <c r="AZ22" s="369">
        <f t="shared" si="31"/>
        <v>10</v>
      </c>
      <c r="BA22" s="369">
        <f t="shared" si="31"/>
        <v>20</v>
      </c>
      <c r="BB22" s="369">
        <f t="shared" si="31"/>
        <v>18</v>
      </c>
      <c r="BC22" s="369">
        <f t="shared" si="31"/>
        <v>38</v>
      </c>
      <c r="BD22" s="369">
        <f t="shared" si="31"/>
        <v>34</v>
      </c>
      <c r="BE22" s="369">
        <f t="shared" si="31"/>
        <v>69</v>
      </c>
      <c r="BF22" s="370">
        <f>SUM(Z22+AH22+AP22+AX22)</f>
        <v>17</v>
      </c>
      <c r="BG22" s="370">
        <f t="shared" ref="BG22" si="41">SUM(AA22,AI22,AQ22,AY22)</f>
        <v>19</v>
      </c>
      <c r="BH22" s="371">
        <f>IFERROR(AA22/Z22,"")</f>
        <v>1</v>
      </c>
      <c r="BI22" s="372">
        <f>AVERAGE(AC22,AK22,AS22,BA22)</f>
        <v>6</v>
      </c>
      <c r="BJ22" s="371">
        <f>IFERROR((AA22+AI22+AQ22)/(Z22+AH22+AP22),"")</f>
        <v>0.72727272727272729</v>
      </c>
      <c r="BK22" s="372">
        <f t="shared" ref="BK22" si="42">IFERROR((AB22+AJ22+AR22)/(AA22+AI22+AQ22),"")</f>
        <v>0.625</v>
      </c>
      <c r="BL22" s="373">
        <f>IFERROR(BG22/BF22,"")</f>
        <v>1.1176470588235294</v>
      </c>
      <c r="BM22" s="374" t="s">
        <v>326</v>
      </c>
      <c r="BN22" s="375">
        <f>BL22</f>
        <v>1.1176470588235294</v>
      </c>
      <c r="BO22" s="335" t="s">
        <v>132</v>
      </c>
    </row>
    <row r="23" spans="1:67" s="152" customFormat="1" ht="135" x14ac:dyDescent="0.3">
      <c r="A23" s="325" t="s">
        <v>50</v>
      </c>
      <c r="B23" s="314" t="s">
        <v>76</v>
      </c>
      <c r="C23" s="314" t="s">
        <v>77</v>
      </c>
      <c r="D23" s="320">
        <v>1</v>
      </c>
      <c r="E23" s="315" t="s">
        <v>204</v>
      </c>
      <c r="F23" s="377">
        <v>0</v>
      </c>
      <c r="G23" s="377">
        <v>0</v>
      </c>
      <c r="H23" s="379">
        <v>1</v>
      </c>
      <c r="I23" s="379">
        <v>1</v>
      </c>
      <c r="J23" s="378">
        <v>1</v>
      </c>
      <c r="K23" s="348"/>
      <c r="L23" s="348"/>
      <c r="M23" s="348"/>
      <c r="N23" s="348"/>
      <c r="O23" s="348"/>
      <c r="P23" s="349" t="s">
        <v>73</v>
      </c>
      <c r="Q23" s="350" t="s">
        <v>74</v>
      </c>
      <c r="R23" s="351">
        <v>0</v>
      </c>
      <c r="S23" s="351">
        <v>0</v>
      </c>
      <c r="T23" s="352">
        <v>0</v>
      </c>
      <c r="U23" s="352">
        <v>0</v>
      </c>
      <c r="V23" s="352">
        <v>0</v>
      </c>
      <c r="W23" s="352">
        <v>0</v>
      </c>
      <c r="X23" s="352">
        <v>0</v>
      </c>
      <c r="Y23" s="352">
        <v>0</v>
      </c>
      <c r="Z23" s="353">
        <f t="shared" si="25"/>
        <v>0</v>
      </c>
      <c r="AA23" s="353">
        <f t="shared" si="26"/>
        <v>0</v>
      </c>
      <c r="AB23" s="354">
        <v>0</v>
      </c>
      <c r="AC23" s="354">
        <v>0</v>
      </c>
      <c r="AD23" s="354">
        <v>0</v>
      </c>
      <c r="AE23" s="354">
        <v>0</v>
      </c>
      <c r="AF23" s="354">
        <v>0</v>
      </c>
      <c r="AG23" s="354">
        <v>0</v>
      </c>
      <c r="AH23" s="355">
        <f>SUM(AB23,AD23,AF23)</f>
        <v>0</v>
      </c>
      <c r="AI23" s="355">
        <f t="shared" si="28"/>
        <v>0</v>
      </c>
      <c r="AJ23" s="354">
        <v>0</v>
      </c>
      <c r="AK23" s="354">
        <v>0</v>
      </c>
      <c r="AL23" s="354">
        <v>0</v>
      </c>
      <c r="AM23" s="354">
        <v>0</v>
      </c>
      <c r="AN23" s="354">
        <v>0</v>
      </c>
      <c r="AO23" s="356">
        <v>0</v>
      </c>
      <c r="AP23" s="355">
        <f t="shared" si="29"/>
        <v>0</v>
      </c>
      <c r="AQ23" s="355">
        <f t="shared" si="30"/>
        <v>0</v>
      </c>
      <c r="AR23" s="354">
        <v>0</v>
      </c>
      <c r="AS23" s="354">
        <v>0</v>
      </c>
      <c r="AT23" s="354">
        <v>0</v>
      </c>
      <c r="AU23" s="354">
        <v>0</v>
      </c>
      <c r="AV23" s="354">
        <v>0.5</v>
      </c>
      <c r="AW23" s="356">
        <v>0.5</v>
      </c>
      <c r="AX23" s="355">
        <f>SUM(AR23,AT23,AV23)</f>
        <v>0.5</v>
      </c>
      <c r="AY23" s="355">
        <f t="shared" si="32"/>
        <v>0.5</v>
      </c>
      <c r="AZ23" s="357"/>
      <c r="BA23" s="357"/>
      <c r="BB23" s="357">
        <v>1</v>
      </c>
      <c r="BC23" s="357"/>
      <c r="BD23" s="357">
        <v>1</v>
      </c>
      <c r="BE23" s="357"/>
      <c r="BF23" s="358">
        <f>AVERAGE(AH23+AP23+AX23) /AY23</f>
        <v>1</v>
      </c>
      <c r="BG23" s="358">
        <f>SUM(AI23+AQ23+AY23)/BF23/AX23</f>
        <v>1</v>
      </c>
      <c r="BH23" s="359" t="str">
        <f t="shared" si="12"/>
        <v/>
      </c>
      <c r="BI23" s="359"/>
      <c r="BJ23" s="359"/>
      <c r="BK23" s="359">
        <f t="shared" ref="BK23" si="43">IFERROR((AA23+AI23+AQ23+AY23)/(Z23+AH23+AP23+AX23),"")</f>
        <v>1</v>
      </c>
      <c r="BL23" s="360">
        <f t="shared" si="19"/>
        <v>1</v>
      </c>
      <c r="BM23" s="361" t="s">
        <v>192</v>
      </c>
      <c r="BN23" s="362">
        <f t="shared" ref="BN23" si="44" xml:space="preserve"> BL23</f>
        <v>1</v>
      </c>
    </row>
    <row r="24" spans="1:67" s="152" customFormat="1" ht="409.6" thickBot="1" x14ac:dyDescent="0.35">
      <c r="A24" s="309" t="s">
        <v>45</v>
      </c>
      <c r="B24" s="310" t="s">
        <v>1</v>
      </c>
      <c r="C24" s="310" t="s">
        <v>30</v>
      </c>
      <c r="D24" s="324">
        <v>1</v>
      </c>
      <c r="E24" s="312" t="s">
        <v>205</v>
      </c>
      <c r="F24" s="312"/>
      <c r="G24" s="312"/>
      <c r="H24" s="312"/>
      <c r="I24" s="312"/>
      <c r="J24" s="312"/>
      <c r="K24" s="312"/>
      <c r="L24" s="312"/>
      <c r="M24" s="312"/>
      <c r="N24" s="312"/>
      <c r="O24" s="312"/>
      <c r="P24" s="180" t="s">
        <v>71</v>
      </c>
      <c r="Q24" s="181" t="s">
        <v>72</v>
      </c>
      <c r="R24" s="313">
        <v>100</v>
      </c>
      <c r="S24" s="313">
        <v>100</v>
      </c>
      <c r="T24" s="218">
        <f>1/12</f>
        <v>8.3333333333333329E-2</v>
      </c>
      <c r="U24" s="218">
        <f t="shared" ref="U24:Y24" si="45">1/12</f>
        <v>8.3333333333333329E-2</v>
      </c>
      <c r="V24" s="218">
        <f t="shared" si="45"/>
        <v>8.3333333333333329E-2</v>
      </c>
      <c r="W24" s="218">
        <f t="shared" si="45"/>
        <v>8.3333333333333329E-2</v>
      </c>
      <c r="X24" s="218">
        <f t="shared" si="45"/>
        <v>8.3333333333333329E-2</v>
      </c>
      <c r="Y24" s="218">
        <f t="shared" si="45"/>
        <v>8.3333333333333329E-2</v>
      </c>
      <c r="Z24" s="219">
        <f t="shared" si="25"/>
        <v>0.25</v>
      </c>
      <c r="AA24" s="219">
        <f t="shared" si="26"/>
        <v>0.25</v>
      </c>
      <c r="AB24" s="218">
        <f>1/12</f>
        <v>8.3333333333333329E-2</v>
      </c>
      <c r="AC24" s="218">
        <f t="shared" ref="AC24:AG24" si="46">1/12</f>
        <v>8.3333333333333329E-2</v>
      </c>
      <c r="AD24" s="218">
        <f t="shared" si="46"/>
        <v>8.3333333333333329E-2</v>
      </c>
      <c r="AE24" s="218">
        <f t="shared" si="46"/>
        <v>8.3333333333333329E-2</v>
      </c>
      <c r="AF24" s="218">
        <f t="shared" si="46"/>
        <v>8.3333333333333329E-2</v>
      </c>
      <c r="AG24" s="218">
        <f t="shared" si="46"/>
        <v>8.3333333333333329E-2</v>
      </c>
      <c r="AH24" s="219">
        <f t="shared" si="27"/>
        <v>0.25</v>
      </c>
      <c r="AI24" s="219">
        <f t="shared" si="28"/>
        <v>0.25</v>
      </c>
      <c r="AJ24" s="218">
        <f>1/12</f>
        <v>8.3333333333333329E-2</v>
      </c>
      <c r="AK24" s="218">
        <f t="shared" ref="AK24" si="47">1/12</f>
        <v>8.3333333333333329E-2</v>
      </c>
      <c r="AL24" s="218">
        <f>1/12</f>
        <v>8.3333333333333329E-2</v>
      </c>
      <c r="AM24" s="218">
        <f t="shared" ref="AM24" si="48">1/12</f>
        <v>8.3333333333333329E-2</v>
      </c>
      <c r="AN24" s="218">
        <f>1/12</f>
        <v>8.3333333333333329E-2</v>
      </c>
      <c r="AO24" s="218">
        <f t="shared" ref="AO24" si="49">1/12</f>
        <v>8.3333333333333329E-2</v>
      </c>
      <c r="AP24" s="219">
        <f t="shared" si="29"/>
        <v>0.25</v>
      </c>
      <c r="AQ24" s="219">
        <f t="shared" si="30"/>
        <v>0.25</v>
      </c>
      <c r="AR24" s="218">
        <f t="shared" ref="AR24:AW24" si="50">1/12</f>
        <v>8.3333333333333329E-2</v>
      </c>
      <c r="AS24" s="218">
        <f t="shared" si="50"/>
        <v>8.3333333333333329E-2</v>
      </c>
      <c r="AT24" s="218">
        <f t="shared" si="50"/>
        <v>8.3333333333333329E-2</v>
      </c>
      <c r="AU24" s="218">
        <f t="shared" si="50"/>
        <v>8.3333333333333329E-2</v>
      </c>
      <c r="AV24" s="218">
        <f t="shared" si="50"/>
        <v>8.3333333333333329E-2</v>
      </c>
      <c r="AW24" s="218">
        <f t="shared" si="50"/>
        <v>8.3333333333333329E-2</v>
      </c>
      <c r="AX24" s="219">
        <f t="shared" si="31"/>
        <v>0.25</v>
      </c>
      <c r="AY24" s="219">
        <f t="shared" si="32"/>
        <v>0.25</v>
      </c>
      <c r="AZ24" s="217">
        <v>100</v>
      </c>
      <c r="BA24" s="217"/>
      <c r="BB24" s="217">
        <v>100</v>
      </c>
      <c r="BC24" s="217"/>
      <c r="BD24" s="217">
        <v>100</v>
      </c>
      <c r="BE24" s="217"/>
      <c r="BF24" s="220">
        <f t="shared" si="22"/>
        <v>1</v>
      </c>
      <c r="BG24" s="220">
        <f t="shared" si="23"/>
        <v>1</v>
      </c>
      <c r="BH24" s="212">
        <f t="shared" si="12"/>
        <v>1</v>
      </c>
      <c r="BI24" s="216">
        <f t="shared" si="24"/>
        <v>1</v>
      </c>
      <c r="BJ24" s="216">
        <f t="shared" si="17"/>
        <v>1</v>
      </c>
      <c r="BK24" s="216">
        <f t="shared" si="18"/>
        <v>1</v>
      </c>
      <c r="BL24" s="206">
        <f t="shared" si="19"/>
        <v>1</v>
      </c>
      <c r="BM24" s="182" t="s">
        <v>327</v>
      </c>
      <c r="BN24" s="311">
        <f>BL24</f>
        <v>1</v>
      </c>
    </row>
    <row r="25" spans="1:67" ht="14.25" thickBot="1" x14ac:dyDescent="0.2">
      <c r="BM25" s="182"/>
    </row>
  </sheetData>
  <autoFilter ref="A5:BO24" xr:uid="{91F47103-5A43-4E23-AC75-76F86C74C2EE}">
    <filterColumn colId="17"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7" showButton="0"/>
    <filterColumn colId="59" showButton="0"/>
    <filterColumn colId="60" showButton="0"/>
    <filterColumn colId="61" showButton="0"/>
  </autoFilter>
  <mergeCells count="62">
    <mergeCell ref="A17:A18"/>
    <mergeCell ref="A19:A21"/>
    <mergeCell ref="A9:A14"/>
    <mergeCell ref="B19:B21"/>
    <mergeCell ref="A15:A16"/>
    <mergeCell ref="B17:B18"/>
    <mergeCell ref="B9:B16"/>
    <mergeCell ref="C1:BM3"/>
    <mergeCell ref="T6:U6"/>
    <mergeCell ref="AL6:AM6"/>
    <mergeCell ref="AN6:AO6"/>
    <mergeCell ref="A1:B3"/>
    <mergeCell ref="BD6:BE6"/>
    <mergeCell ref="AD6:AE6"/>
    <mergeCell ref="T5:BE5"/>
    <mergeCell ref="R5:S6"/>
    <mergeCell ref="P5:P7"/>
    <mergeCell ref="V6:W6"/>
    <mergeCell ref="Q5:Q7"/>
    <mergeCell ref="AF6:AG6"/>
    <mergeCell ref="AH6:AI6"/>
    <mergeCell ref="AJ6:AK6"/>
    <mergeCell ref="X6:Y6"/>
    <mergeCell ref="Z6:AA6"/>
    <mergeCell ref="AB6:AC6"/>
    <mergeCell ref="BN5:BN7"/>
    <mergeCell ref="BH5:BK6"/>
    <mergeCell ref="AP6:AQ6"/>
    <mergeCell ref="AR6:AS6"/>
    <mergeCell ref="AT6:AU6"/>
    <mergeCell ref="BL5:BL7"/>
    <mergeCell ref="BF5:BG6"/>
    <mergeCell ref="AX6:AY6"/>
    <mergeCell ref="AV6:AW6"/>
    <mergeCell ref="BM5:BM7"/>
    <mergeCell ref="BB6:BC6"/>
    <mergeCell ref="AZ6:BA6"/>
    <mergeCell ref="BN9:BN16"/>
    <mergeCell ref="BN17:BN18"/>
    <mergeCell ref="C9:C10"/>
    <mergeCell ref="C12:C14"/>
    <mergeCell ref="BN19:BN21"/>
    <mergeCell ref="F4:G4"/>
    <mergeCell ref="H4:I4"/>
    <mergeCell ref="N5:N7"/>
    <mergeCell ref="O5:O7"/>
    <mergeCell ref="N4:O4"/>
    <mergeCell ref="J5:J7"/>
    <mergeCell ref="K5:K7"/>
    <mergeCell ref="J4:K4"/>
    <mergeCell ref="L4:M4"/>
    <mergeCell ref="F5:F7"/>
    <mergeCell ref="G5:G7"/>
    <mergeCell ref="H5:H7"/>
    <mergeCell ref="I5:I7"/>
    <mergeCell ref="L5:L7"/>
    <mergeCell ref="M5:M7"/>
    <mergeCell ref="A4:A7"/>
    <mergeCell ref="B4:B7"/>
    <mergeCell ref="C4:C7"/>
    <mergeCell ref="D4:D7"/>
    <mergeCell ref="E4:E7"/>
  </mergeCells>
  <conditionalFormatting sqref="BL8:BL21 BL23:BL24">
    <cfRule type="cellIs" dxfId="8" priority="19" operator="between">
      <formula>0.75</formula>
      <formula>0.85</formula>
    </cfRule>
    <cfRule type="cellIs" dxfId="7" priority="20" operator="greaterThan">
      <formula>0.85</formula>
    </cfRule>
    <cfRule type="cellIs" dxfId="6" priority="21" operator="lessThan">
      <formula>0.75</formula>
    </cfRule>
  </conditionalFormatting>
  <conditionalFormatting sqref="BN8">
    <cfRule type="cellIs" dxfId="5" priority="10" operator="between">
      <formula>0.75</formula>
      <formula>0.85</formula>
    </cfRule>
    <cfRule type="cellIs" dxfId="4" priority="11" operator="greaterThan">
      <formula>0.85</formula>
    </cfRule>
    <cfRule type="cellIs" dxfId="3" priority="12" operator="lessThan">
      <formula>0.75</formula>
    </cfRule>
  </conditionalFormatting>
  <conditionalFormatting sqref="BL22">
    <cfRule type="cellIs" dxfId="2" priority="1" operator="between">
      <formula>0.75</formula>
      <formula>0.85</formula>
    </cfRule>
    <cfRule type="cellIs" dxfId="1" priority="2" operator="greaterThan">
      <formula>0.85</formula>
    </cfRule>
    <cfRule type="cellIs" dxfId="0" priority="3" operator="lessThan">
      <formula>0.75</formula>
    </cfRule>
  </conditionalFormatting>
  <dataValidations count="5">
    <dataValidation allowBlank="1" showInputMessage="1" showErrorMessage="1" promptTitle="Producto" prompt="Describa el resultado de lo que se espera alcanzar cuando se cumpla la meta" sqref="Q8 Q24 Q17" xr:uid="{00000000-0002-0000-0100-000000000000}"/>
    <dataValidation allowBlank="1" showInputMessage="1" showErrorMessage="1" prompt="Registre el o los productos o entregables que servirán de evidencia  " sqref="Q10:Q14 Q18" xr:uid="{00000000-0002-0000-0100-000001000000}"/>
    <dataValidation allowBlank="1" showInputMessage="1" showErrorMessage="1" prompt="Registre las actividades macro que se requieren para cumplir las metas" sqref="P23:S23 P18 P9:S14 AZ23:BE23 AZ9:BE14 F9:G14" xr:uid="{00000000-0002-0000-0100-000002000000}"/>
    <dataValidation allowBlank="1" showInputMessage="1" showErrorMessage="1" promptTitle="Actividades" prompt="Registre las actividades macro que se requieren realizar para lograr la meta" sqref="P24:S24 P8:S8 P17 AZ24:BE24" xr:uid="{00000000-0002-0000-0100-000003000000}"/>
    <dataValidation allowBlank="1" showInputMessage="1" showErrorMessage="1" prompt="Registre la meta o las metas que se desarrollarán para el cumplimiento del Objetivo en 2021." sqref="D22:O22" xr:uid="{000AA518-414C-4D38-BD55-0BEC5D2F78E0}"/>
  </dataValidations>
  <pageMargins left="0.7" right="0.7" top="0.75" bottom="0.75" header="0.3" footer="0.3"/>
  <pageSetup paperSize="9" orientation="portrait" r:id="rId1"/>
  <ignoredErrors>
    <ignoredError sqref="AK11 AM11"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757E7-B575-41AA-BB5F-69A0F3208307}">
  <dimension ref="H7:I14"/>
  <sheetViews>
    <sheetView topLeftCell="A4" workbookViewId="0">
      <selection activeCell="I14" sqref="I14"/>
    </sheetView>
  </sheetViews>
  <sheetFormatPr baseColWidth="10" defaultRowHeight="15" x14ac:dyDescent="0.25"/>
  <sheetData>
    <row r="7" spans="8:9" x14ac:dyDescent="0.25">
      <c r="H7" s="241">
        <v>0.23017778546810425</v>
      </c>
    </row>
    <row r="8" spans="8:9" x14ac:dyDescent="0.25">
      <c r="H8" s="242">
        <v>0.33113418346350798</v>
      </c>
      <c r="I8" s="243">
        <f>AVERAGE(H7:H9)</f>
        <v>0.20303126237114344</v>
      </c>
    </row>
    <row r="9" spans="8:9" x14ac:dyDescent="0.25">
      <c r="H9" s="242">
        <v>4.7781818181818182E-2</v>
      </c>
    </row>
    <row r="12" spans="8:9" ht="23.25" x14ac:dyDescent="0.25">
      <c r="H12" s="244">
        <v>4.5454545454545497E-2</v>
      </c>
    </row>
    <row r="13" spans="8:9" ht="23.25" x14ac:dyDescent="0.25">
      <c r="H13" s="244">
        <v>0.1977272727272727</v>
      </c>
      <c r="I13" s="242">
        <f>AVERAGE(H12:H14)</f>
        <v>0.18501540832049304</v>
      </c>
    </row>
    <row r="14" spans="8:9" ht="23.25" x14ac:dyDescent="0.25">
      <c r="H14" s="245">
        <v>0.31186440677966099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0"/>
  <sheetViews>
    <sheetView topLeftCell="B11" workbookViewId="0">
      <selection activeCell="C16" sqref="C16"/>
    </sheetView>
  </sheetViews>
  <sheetFormatPr baseColWidth="10" defaultColWidth="11.42578125" defaultRowHeight="14.25" x14ac:dyDescent="0.2"/>
  <cols>
    <col min="1" max="1" width="1.28515625" style="88" hidden="1" customWidth="1"/>
    <col min="2" max="2" width="38.28515625" style="88" customWidth="1"/>
    <col min="3" max="3" width="36.28515625" style="88" customWidth="1"/>
    <col min="4" max="4" width="28.28515625" style="88" customWidth="1"/>
    <col min="5" max="5" width="18.5703125" style="88" customWidth="1"/>
    <col min="6" max="16384" width="11.42578125" style="88"/>
  </cols>
  <sheetData>
    <row r="1" spans="2:5" x14ac:dyDescent="0.2">
      <c r="B1" s="87" t="s">
        <v>17</v>
      </c>
      <c r="C1" s="87" t="s">
        <v>68</v>
      </c>
      <c r="D1" s="87" t="s">
        <v>69</v>
      </c>
      <c r="E1" s="87" t="s">
        <v>51</v>
      </c>
    </row>
    <row r="2" spans="2:5" ht="77.25" customHeight="1" x14ac:dyDescent="0.2">
      <c r="B2" s="207" t="s">
        <v>19</v>
      </c>
      <c r="C2" s="90" t="s">
        <v>20</v>
      </c>
      <c r="D2" s="91" t="s">
        <v>78</v>
      </c>
      <c r="E2" s="92" t="s">
        <v>45</v>
      </c>
    </row>
    <row r="3" spans="2:5" ht="27" customHeight="1" x14ac:dyDescent="0.2">
      <c r="B3" s="718" t="s">
        <v>21</v>
      </c>
      <c r="C3" s="722" t="s">
        <v>22</v>
      </c>
      <c r="D3" s="93" t="s">
        <v>31</v>
      </c>
      <c r="E3" s="717" t="s">
        <v>46</v>
      </c>
    </row>
    <row r="4" spans="2:5" ht="27" customHeight="1" x14ac:dyDescent="0.2">
      <c r="B4" s="719"/>
      <c r="C4" s="722"/>
      <c r="D4" s="93" t="s">
        <v>32</v>
      </c>
      <c r="E4" s="717"/>
    </row>
    <row r="5" spans="2:5" ht="67.5" customHeight="1" x14ac:dyDescent="0.2">
      <c r="B5" s="719"/>
      <c r="C5" s="94" t="s">
        <v>23</v>
      </c>
      <c r="D5" s="93" t="s">
        <v>33</v>
      </c>
      <c r="E5" s="717"/>
    </row>
    <row r="6" spans="2:5" ht="36" customHeight="1" x14ac:dyDescent="0.2">
      <c r="B6" s="719"/>
      <c r="C6" s="723" t="s">
        <v>66</v>
      </c>
      <c r="D6" s="93" t="s">
        <v>65</v>
      </c>
      <c r="E6" s="717"/>
    </row>
    <row r="7" spans="2:5" ht="45" customHeight="1" x14ac:dyDescent="0.2">
      <c r="B7" s="719"/>
      <c r="C7" s="723"/>
      <c r="D7" s="93" t="s">
        <v>34</v>
      </c>
      <c r="E7" s="717"/>
    </row>
    <row r="8" spans="2:5" ht="27" x14ac:dyDescent="0.2">
      <c r="B8" s="719"/>
      <c r="C8" s="723"/>
      <c r="D8" s="93" t="s">
        <v>35</v>
      </c>
      <c r="E8" s="717"/>
    </row>
    <row r="9" spans="2:5" ht="33.75" customHeight="1" x14ac:dyDescent="0.2">
      <c r="B9" s="719"/>
      <c r="C9" s="95" t="s">
        <v>129</v>
      </c>
      <c r="D9" s="96" t="s">
        <v>36</v>
      </c>
      <c r="E9" s="717" t="s">
        <v>47</v>
      </c>
    </row>
    <row r="10" spans="2:5" ht="45" customHeight="1" x14ac:dyDescent="0.2">
      <c r="B10" s="720"/>
      <c r="C10" s="95" t="s">
        <v>67</v>
      </c>
      <c r="D10" s="96" t="s">
        <v>37</v>
      </c>
      <c r="E10" s="717"/>
    </row>
    <row r="11" spans="2:5" ht="32.25" customHeight="1" x14ac:dyDescent="0.2">
      <c r="B11" s="724" t="s">
        <v>24</v>
      </c>
      <c r="C11" s="97" t="s">
        <v>86</v>
      </c>
      <c r="D11" s="98" t="s">
        <v>38</v>
      </c>
      <c r="E11" s="717" t="s">
        <v>48</v>
      </c>
    </row>
    <row r="12" spans="2:5" ht="45" x14ac:dyDescent="0.2">
      <c r="B12" s="724"/>
      <c r="C12" s="97" t="s">
        <v>25</v>
      </c>
      <c r="D12" s="98" t="s">
        <v>91</v>
      </c>
      <c r="E12" s="717"/>
    </row>
    <row r="13" spans="2:5" ht="22.5" x14ac:dyDescent="0.2">
      <c r="B13" s="725" t="s">
        <v>0</v>
      </c>
      <c r="C13" s="99" t="s">
        <v>95</v>
      </c>
      <c r="D13" s="100" t="s">
        <v>94</v>
      </c>
      <c r="E13" s="717" t="s">
        <v>70</v>
      </c>
    </row>
    <row r="14" spans="2:5" ht="27" x14ac:dyDescent="0.2">
      <c r="B14" s="725"/>
      <c r="C14" s="99" t="s">
        <v>75</v>
      </c>
      <c r="D14" s="100" t="s">
        <v>39</v>
      </c>
      <c r="E14" s="717"/>
    </row>
    <row r="15" spans="2:5" ht="33.75" x14ac:dyDescent="0.2">
      <c r="B15" s="725"/>
      <c r="C15" s="99" t="s">
        <v>100</v>
      </c>
      <c r="D15" s="100" t="s">
        <v>103</v>
      </c>
      <c r="E15" s="717"/>
    </row>
    <row r="16" spans="2:5" ht="27" x14ac:dyDescent="0.2">
      <c r="B16" s="721" t="s">
        <v>26</v>
      </c>
      <c r="C16" s="101" t="s">
        <v>27</v>
      </c>
      <c r="D16" s="102" t="s">
        <v>40</v>
      </c>
      <c r="E16" s="717" t="s">
        <v>49</v>
      </c>
    </row>
    <row r="17" spans="2:5" ht="57.75" hidden="1" customHeight="1" x14ac:dyDescent="0.2">
      <c r="B17" s="721"/>
      <c r="C17" s="103" t="s">
        <v>28</v>
      </c>
      <c r="D17" s="102" t="s">
        <v>41</v>
      </c>
      <c r="E17" s="717"/>
    </row>
    <row r="18" spans="2:5" ht="60" hidden="1" customHeight="1" x14ac:dyDescent="0.2">
      <c r="B18" s="721"/>
      <c r="C18" s="103" t="s">
        <v>28</v>
      </c>
      <c r="D18" s="102" t="s">
        <v>42</v>
      </c>
      <c r="E18" s="717"/>
    </row>
    <row r="19" spans="2:5" ht="78.75" x14ac:dyDescent="0.2">
      <c r="B19" s="108" t="s">
        <v>29</v>
      </c>
      <c r="C19" s="104" t="s">
        <v>77</v>
      </c>
      <c r="D19" s="105" t="s">
        <v>106</v>
      </c>
      <c r="E19" s="89" t="s">
        <v>50</v>
      </c>
    </row>
    <row r="20" spans="2:5" ht="58.5" customHeight="1" x14ac:dyDescent="0.2">
      <c r="B20" s="108" t="s">
        <v>1</v>
      </c>
      <c r="C20" s="106" t="s">
        <v>30</v>
      </c>
      <c r="D20" s="107" t="s">
        <v>43</v>
      </c>
      <c r="E20" s="89" t="s">
        <v>45</v>
      </c>
    </row>
  </sheetData>
  <mergeCells count="11">
    <mergeCell ref="E13:E15"/>
    <mergeCell ref="E16:E18"/>
    <mergeCell ref="B3:B10"/>
    <mergeCell ref="B16:B18"/>
    <mergeCell ref="E3:E8"/>
    <mergeCell ref="E9:E10"/>
    <mergeCell ref="E11:E12"/>
    <mergeCell ref="C3:C4"/>
    <mergeCell ref="C6:C8"/>
    <mergeCell ref="B11:B12"/>
    <mergeCell ref="B13:B15"/>
  </mergeCells>
  <dataValidations count="1">
    <dataValidation allowBlank="1" showInputMessage="1" showErrorMessage="1" prompt="Registre la meta o las metas que se desarrollarán para el cumplimiento del Objetivo en 2021." sqref="D17:D18" xr:uid="{00000000-0002-0000-0400-000000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3BD60-FBB3-4896-86C6-9572F1B122FE}">
  <dimension ref="A1:W24"/>
  <sheetViews>
    <sheetView topLeftCell="A12" zoomScale="96" zoomScaleNormal="96" workbookViewId="0">
      <selection activeCell="F18" sqref="F18"/>
    </sheetView>
  </sheetViews>
  <sheetFormatPr baseColWidth="10" defaultRowHeight="15" x14ac:dyDescent="0.25"/>
  <cols>
    <col min="1" max="1" width="34.7109375" customWidth="1"/>
    <col min="2" max="3" width="16" hidden="1" customWidth="1"/>
    <col min="4" max="4" width="35.7109375" customWidth="1"/>
    <col min="5" max="5" width="31.28515625" customWidth="1"/>
    <col min="6" max="6" width="11.85546875" customWidth="1"/>
    <col min="7" max="7" width="10.7109375" customWidth="1"/>
    <col min="8" max="8" width="9.42578125" customWidth="1"/>
    <col min="9" max="9" width="11.85546875" customWidth="1"/>
    <col min="10" max="10" width="9.5703125" customWidth="1"/>
    <col min="11" max="11" width="10.85546875" customWidth="1"/>
    <col min="12" max="12" width="9.85546875" customWidth="1"/>
    <col min="13" max="15" width="15.140625" customWidth="1"/>
    <col min="16" max="16" width="11" hidden="1" customWidth="1"/>
    <col min="17" max="17" width="6.140625" hidden="1" customWidth="1"/>
    <col min="18" max="18" width="5.5703125" hidden="1" customWidth="1"/>
    <col min="19" max="19" width="7.42578125" hidden="1" customWidth="1"/>
    <col min="20" max="20" width="2.42578125" hidden="1" customWidth="1"/>
    <col min="21" max="21" width="7.42578125" hidden="1" customWidth="1"/>
  </cols>
  <sheetData>
    <row r="1" spans="1:23" s="518" customFormat="1" ht="15" customHeight="1" x14ac:dyDescent="0.2">
      <c r="A1" s="746" t="s">
        <v>212</v>
      </c>
      <c r="B1" s="747"/>
      <c r="C1" s="747"/>
      <c r="D1" s="747"/>
      <c r="E1" s="555"/>
      <c r="F1" s="737" t="s">
        <v>427</v>
      </c>
      <c r="G1" s="738"/>
      <c r="H1" s="737" t="s">
        <v>147</v>
      </c>
      <c r="I1" s="738"/>
      <c r="J1" s="753" t="s">
        <v>423</v>
      </c>
      <c r="K1" s="754"/>
      <c r="L1" s="755"/>
      <c r="M1" s="732" t="s">
        <v>425</v>
      </c>
      <c r="N1" s="732" t="s">
        <v>424</v>
      </c>
      <c r="O1" s="732" t="s">
        <v>446</v>
      </c>
      <c r="P1" s="742" t="s">
        <v>304</v>
      </c>
      <c r="Q1" s="743"/>
      <c r="R1" s="742" t="s">
        <v>305</v>
      </c>
      <c r="S1" s="743"/>
      <c r="T1" s="742" t="s">
        <v>306</v>
      </c>
      <c r="U1" s="743"/>
    </row>
    <row r="2" spans="1:23" s="518" customFormat="1" ht="15" customHeight="1" x14ac:dyDescent="0.2">
      <c r="A2" s="748"/>
      <c r="B2" s="749"/>
      <c r="C2" s="749"/>
      <c r="D2" s="749"/>
      <c r="E2" s="556"/>
      <c r="F2" s="739"/>
      <c r="G2" s="740"/>
      <c r="H2" s="739"/>
      <c r="I2" s="740"/>
      <c r="J2" s="756"/>
      <c r="K2" s="757"/>
      <c r="L2" s="758"/>
      <c r="M2" s="733"/>
      <c r="N2" s="733"/>
      <c r="O2" s="733"/>
      <c r="P2" s="744"/>
      <c r="Q2" s="745"/>
      <c r="R2" s="744"/>
      <c r="S2" s="745"/>
      <c r="T2" s="744"/>
      <c r="U2" s="745"/>
    </row>
    <row r="3" spans="1:23" s="518" customFormat="1" ht="50.25" customHeight="1" x14ac:dyDescent="0.2">
      <c r="A3" s="519" t="s">
        <v>17</v>
      </c>
      <c r="B3" s="520" t="s">
        <v>447</v>
      </c>
      <c r="C3" s="520"/>
      <c r="D3" s="521" t="s">
        <v>68</v>
      </c>
      <c r="E3" s="521" t="s">
        <v>459</v>
      </c>
      <c r="F3" s="545" t="s">
        <v>259</v>
      </c>
      <c r="G3" s="546" t="s">
        <v>282</v>
      </c>
      <c r="H3" s="547" t="s">
        <v>259</v>
      </c>
      <c r="I3" s="548" t="s">
        <v>312</v>
      </c>
      <c r="J3" s="547" t="s">
        <v>259</v>
      </c>
      <c r="K3" s="548" t="s">
        <v>422</v>
      </c>
      <c r="L3" s="548" t="s">
        <v>8</v>
      </c>
      <c r="M3" s="734"/>
      <c r="N3" s="734"/>
      <c r="O3" s="734"/>
      <c r="P3" s="522" t="s">
        <v>259</v>
      </c>
      <c r="Q3" s="522" t="s">
        <v>282</v>
      </c>
      <c r="R3" s="522" t="s">
        <v>259</v>
      </c>
      <c r="S3" s="522" t="s">
        <v>282</v>
      </c>
      <c r="T3" s="522" t="s">
        <v>259</v>
      </c>
      <c r="U3" s="522" t="s">
        <v>282</v>
      </c>
    </row>
    <row r="4" spans="1:23" s="518" customFormat="1" ht="84.75" customHeight="1" x14ac:dyDescent="0.2">
      <c r="A4" s="491" t="s">
        <v>19</v>
      </c>
      <c r="B4" s="387">
        <v>1</v>
      </c>
      <c r="C4" s="511"/>
      <c r="D4" s="491" t="s">
        <v>234</v>
      </c>
      <c r="E4" s="493" t="s">
        <v>399</v>
      </c>
      <c r="F4" s="523">
        <v>1</v>
      </c>
      <c r="G4" s="523">
        <v>1</v>
      </c>
      <c r="H4" s="523">
        <v>1</v>
      </c>
      <c r="I4" s="524">
        <v>1</v>
      </c>
      <c r="J4" s="523">
        <v>1</v>
      </c>
      <c r="K4" s="525">
        <f>J4</f>
        <v>1</v>
      </c>
      <c r="L4" s="526">
        <f>'Plan Estratégico  2022  FINAL'!BM7</f>
        <v>0.25</v>
      </c>
      <c r="M4" s="527">
        <f>K4</f>
        <v>1</v>
      </c>
      <c r="N4" s="527">
        <f>L4</f>
        <v>0.25</v>
      </c>
      <c r="O4" s="527">
        <f>AVERAGE(I4,L4)</f>
        <v>0.625</v>
      </c>
      <c r="P4" s="528">
        <v>1</v>
      </c>
      <c r="Q4" s="529"/>
      <c r="R4" s="523">
        <v>1</v>
      </c>
      <c r="S4" s="529"/>
      <c r="T4" s="529"/>
      <c r="V4" s="530">
        <f>IF(AND(K4&gt;0,F4&gt;0),K4/F4,0)</f>
        <v>1</v>
      </c>
      <c r="W4" s="530">
        <f>IF(AND(V4&gt;0,1&gt;0),V4*1,0)</f>
        <v>1</v>
      </c>
    </row>
    <row r="5" spans="1:23" s="518" customFormat="1" ht="38.25" customHeight="1" x14ac:dyDescent="0.2">
      <c r="A5" s="741" t="s">
        <v>21</v>
      </c>
      <c r="B5" s="729">
        <v>0.25</v>
      </c>
      <c r="C5" s="508"/>
      <c r="D5" s="750" t="s">
        <v>235</v>
      </c>
      <c r="E5" s="493" t="s">
        <v>330</v>
      </c>
      <c r="F5" s="523">
        <v>1</v>
      </c>
      <c r="G5" s="523">
        <v>1</v>
      </c>
      <c r="H5" s="523">
        <v>1</v>
      </c>
      <c r="I5" s="531">
        <v>0.28999999999999998</v>
      </c>
      <c r="J5" s="523">
        <v>1</v>
      </c>
      <c r="K5" s="525">
        <v>1</v>
      </c>
      <c r="L5" s="526">
        <v>0.25</v>
      </c>
      <c r="M5" s="726">
        <f>AVERAGE(K5:K12)</f>
        <v>1</v>
      </c>
      <c r="N5" s="726">
        <f xml:space="preserve"> AVERAGE(L5:L12)</f>
        <v>0.51</v>
      </c>
      <c r="O5" s="726">
        <f>AVERAGE(AVERAGE(I5:I12),AVERAGE(L5:L12))</f>
        <v>0.70374999999999999</v>
      </c>
      <c r="P5" s="528">
        <v>1</v>
      </c>
      <c r="Q5" s="529"/>
      <c r="R5" s="523">
        <v>1</v>
      </c>
      <c r="S5" s="529"/>
      <c r="T5" s="529"/>
      <c r="V5" s="728">
        <f xml:space="preserve"> IF(AND(100&gt;0,100&gt;0),100/100,0)</f>
        <v>1</v>
      </c>
      <c r="W5" s="728">
        <f>IF(AND(V5&gt;0,B5&gt;0),V5*B5,0)</f>
        <v>0.25</v>
      </c>
    </row>
    <row r="6" spans="1:23" s="518" customFormat="1" ht="38.25" customHeight="1" x14ac:dyDescent="0.2">
      <c r="A6" s="741"/>
      <c r="B6" s="730"/>
      <c r="C6" s="509"/>
      <c r="D6" s="752"/>
      <c r="E6" s="493" t="s">
        <v>344</v>
      </c>
      <c r="F6" s="523">
        <v>1</v>
      </c>
      <c r="G6" s="523">
        <v>1</v>
      </c>
      <c r="H6" s="523">
        <v>1</v>
      </c>
      <c r="I6" s="524">
        <v>0.95</v>
      </c>
      <c r="J6" s="523">
        <v>1</v>
      </c>
      <c r="K6" s="525">
        <v>1</v>
      </c>
      <c r="L6" s="526">
        <v>0.25</v>
      </c>
      <c r="M6" s="727"/>
      <c r="N6" s="726"/>
      <c r="O6" s="726"/>
      <c r="P6" s="528">
        <v>1</v>
      </c>
      <c r="Q6" s="529"/>
      <c r="R6" s="523">
        <v>1</v>
      </c>
      <c r="S6" s="529"/>
      <c r="T6" s="529"/>
      <c r="V6" s="728"/>
      <c r="W6" s="728"/>
    </row>
    <row r="7" spans="1:23" s="518" customFormat="1" ht="54.75" customHeight="1" x14ac:dyDescent="0.2">
      <c r="A7" s="741"/>
      <c r="B7" s="401">
        <v>0.25</v>
      </c>
      <c r="C7" s="508"/>
      <c r="D7" s="492" t="s">
        <v>236</v>
      </c>
      <c r="E7" s="493" t="s">
        <v>345</v>
      </c>
      <c r="F7" s="523">
        <v>1</v>
      </c>
      <c r="G7" s="523">
        <v>1</v>
      </c>
      <c r="H7" s="523">
        <v>1</v>
      </c>
      <c r="I7" s="524">
        <v>1</v>
      </c>
      <c r="J7" s="523">
        <v>1</v>
      </c>
      <c r="K7" s="532" t="s">
        <v>417</v>
      </c>
      <c r="L7" s="533" t="s">
        <v>417</v>
      </c>
      <c r="M7" s="727"/>
      <c r="N7" s="726"/>
      <c r="O7" s="726"/>
      <c r="P7" s="528">
        <v>1</v>
      </c>
      <c r="Q7" s="529"/>
      <c r="R7" s="523">
        <v>1</v>
      </c>
      <c r="S7" s="529"/>
      <c r="T7" s="529"/>
      <c r="V7" s="534"/>
    </row>
    <row r="8" spans="1:23" s="518" customFormat="1" ht="28.5" customHeight="1" x14ac:dyDescent="0.2">
      <c r="A8" s="741"/>
      <c r="B8" s="729">
        <f>1/4</f>
        <v>0.25</v>
      </c>
      <c r="C8" s="508"/>
      <c r="D8" s="750" t="s">
        <v>237</v>
      </c>
      <c r="E8" s="493" t="s">
        <v>346</v>
      </c>
      <c r="F8" s="523">
        <v>0</v>
      </c>
      <c r="G8" s="523">
        <v>0</v>
      </c>
      <c r="H8" s="523">
        <v>1</v>
      </c>
      <c r="I8" s="524">
        <v>0.9</v>
      </c>
      <c r="J8" s="523">
        <v>1</v>
      </c>
      <c r="K8" s="525">
        <v>1</v>
      </c>
      <c r="L8" s="526">
        <f>'Plan Estratégico  2022  FINAL'!BM11</f>
        <v>0.79999999999999993</v>
      </c>
      <c r="M8" s="727"/>
      <c r="N8" s="726"/>
      <c r="O8" s="726"/>
      <c r="P8" s="528">
        <v>1</v>
      </c>
      <c r="Q8" s="529"/>
      <c r="R8" s="523">
        <v>1</v>
      </c>
      <c r="S8" s="529"/>
      <c r="T8" s="529"/>
    </row>
    <row r="9" spans="1:23" s="518" customFormat="1" ht="29.25" customHeight="1" x14ac:dyDescent="0.2">
      <c r="A9" s="741"/>
      <c r="B9" s="731"/>
      <c r="C9" s="510"/>
      <c r="D9" s="751"/>
      <c r="E9" s="493" t="s">
        <v>350</v>
      </c>
      <c r="F9" s="523">
        <v>0</v>
      </c>
      <c r="G9" s="523">
        <v>0</v>
      </c>
      <c r="H9" s="523">
        <v>1</v>
      </c>
      <c r="I9" s="524">
        <v>0.95</v>
      </c>
      <c r="J9" s="523">
        <v>1</v>
      </c>
      <c r="K9" s="525">
        <f>'Plan Estratégico  2022  FINAL'!BL12</f>
        <v>1</v>
      </c>
      <c r="L9" s="526">
        <f>'Plan Estratégico  2022  FINAL'!BM12</f>
        <v>1</v>
      </c>
      <c r="M9" s="727"/>
      <c r="N9" s="726"/>
      <c r="O9" s="726"/>
      <c r="P9" s="528">
        <v>1</v>
      </c>
      <c r="Q9" s="529"/>
      <c r="R9" s="523">
        <v>1</v>
      </c>
      <c r="S9" s="529"/>
      <c r="T9" s="529"/>
    </row>
    <row r="10" spans="1:23" s="518" customFormat="1" ht="41.25" customHeight="1" x14ac:dyDescent="0.2">
      <c r="A10" s="741"/>
      <c r="B10" s="730"/>
      <c r="C10" s="509"/>
      <c r="D10" s="752"/>
      <c r="E10" s="493" t="s">
        <v>351</v>
      </c>
      <c r="F10" s="523">
        <v>0</v>
      </c>
      <c r="G10" s="523">
        <v>0</v>
      </c>
      <c r="H10" s="523">
        <v>1</v>
      </c>
      <c r="I10" s="524">
        <v>1</v>
      </c>
      <c r="J10" s="523">
        <v>1</v>
      </c>
      <c r="K10" s="532" t="s">
        <v>417</v>
      </c>
      <c r="L10" s="533" t="s">
        <v>417</v>
      </c>
      <c r="M10" s="727"/>
      <c r="N10" s="726"/>
      <c r="O10" s="726"/>
      <c r="P10" s="528">
        <v>1</v>
      </c>
      <c r="Q10" s="529"/>
      <c r="R10" s="523">
        <v>1</v>
      </c>
      <c r="S10" s="529"/>
      <c r="T10" s="529"/>
    </row>
    <row r="11" spans="1:23" s="518" customFormat="1" ht="30.75" customHeight="1" x14ac:dyDescent="0.2">
      <c r="A11" s="741"/>
      <c r="B11" s="511">
        <v>0.25</v>
      </c>
      <c r="C11" s="511"/>
      <c r="D11" s="492" t="s">
        <v>238</v>
      </c>
      <c r="E11" s="493" t="s">
        <v>460</v>
      </c>
      <c r="F11" s="523">
        <v>0</v>
      </c>
      <c r="G11" s="523">
        <v>0</v>
      </c>
      <c r="H11" s="523">
        <v>1</v>
      </c>
      <c r="I11" s="524">
        <v>1</v>
      </c>
      <c r="J11" s="523">
        <v>1</v>
      </c>
      <c r="K11" s="525">
        <f>'Plan Estratégico  2022  FINAL'!BH14</f>
        <v>1</v>
      </c>
      <c r="L11" s="526">
        <v>0.25</v>
      </c>
      <c r="M11" s="727"/>
      <c r="N11" s="726"/>
      <c r="O11" s="726"/>
      <c r="P11" s="528">
        <v>1</v>
      </c>
      <c r="Q11" s="529"/>
      <c r="R11" s="523">
        <v>1</v>
      </c>
      <c r="S11" s="529"/>
      <c r="T11" s="529"/>
    </row>
    <row r="12" spans="1:23" s="518" customFormat="1" ht="43.5" customHeight="1" x14ac:dyDescent="0.2">
      <c r="A12" s="741"/>
      <c r="B12" s="512"/>
      <c r="C12" s="512"/>
      <c r="D12" s="490" t="s">
        <v>239</v>
      </c>
      <c r="E12" s="493" t="s">
        <v>461</v>
      </c>
      <c r="F12" s="523">
        <v>0</v>
      </c>
      <c r="G12" s="523">
        <v>0</v>
      </c>
      <c r="H12" s="523">
        <v>1</v>
      </c>
      <c r="I12" s="524">
        <v>1.0900000000000001</v>
      </c>
      <c r="J12" s="523">
        <v>1</v>
      </c>
      <c r="K12" s="532" t="s">
        <v>419</v>
      </c>
      <c r="L12" s="533" t="s">
        <v>419</v>
      </c>
      <c r="M12" s="727"/>
      <c r="N12" s="726"/>
      <c r="O12" s="726"/>
      <c r="P12" s="528">
        <v>1</v>
      </c>
      <c r="Q12" s="529"/>
      <c r="R12" s="523">
        <v>1</v>
      </c>
      <c r="S12" s="529"/>
      <c r="T12" s="529"/>
    </row>
    <row r="13" spans="1:23" s="518" customFormat="1" ht="46.5" customHeight="1" x14ac:dyDescent="0.2">
      <c r="A13" s="741" t="s">
        <v>24</v>
      </c>
      <c r="B13" s="387">
        <v>0.3</v>
      </c>
      <c r="C13" s="387"/>
      <c r="D13" s="490" t="s">
        <v>240</v>
      </c>
      <c r="E13" s="557" t="s">
        <v>366</v>
      </c>
      <c r="F13" s="523">
        <v>0</v>
      </c>
      <c r="G13" s="523">
        <v>0</v>
      </c>
      <c r="H13" s="523">
        <v>1</v>
      </c>
      <c r="I13" s="524">
        <v>0.98</v>
      </c>
      <c r="J13" s="523">
        <v>1</v>
      </c>
      <c r="K13" s="535">
        <f>'Plan Estratégico  2022  FINAL'!BG16</f>
        <v>0.99960000000000004</v>
      </c>
      <c r="L13" s="536">
        <f>'Plan Estratégico  2022  FINAL'!BM16</f>
        <v>0.25</v>
      </c>
      <c r="M13" s="726">
        <f xml:space="preserve"> AVERAGE(K13:K14)</f>
        <v>0.99980000000000002</v>
      </c>
      <c r="N13" s="726">
        <f>AVERAGE(L13:L14)</f>
        <v>0.25</v>
      </c>
      <c r="O13" s="726">
        <f>AVERAGE( AVERAGE(I13:I14), AVERAGE(L13:L14))</f>
        <v>0.62</v>
      </c>
      <c r="P13" s="528">
        <v>1</v>
      </c>
      <c r="Q13" s="523"/>
      <c r="R13" s="523">
        <v>1</v>
      </c>
      <c r="S13" s="529"/>
      <c r="T13" s="529"/>
    </row>
    <row r="14" spans="1:23" s="518" customFormat="1" ht="46.5" customHeight="1" x14ac:dyDescent="0.2">
      <c r="A14" s="741"/>
      <c r="B14" s="387">
        <v>0.7</v>
      </c>
      <c r="C14" s="387"/>
      <c r="D14" s="490" t="s">
        <v>241</v>
      </c>
      <c r="E14" s="557" t="s">
        <v>367</v>
      </c>
      <c r="F14" s="523">
        <v>0</v>
      </c>
      <c r="G14" s="523">
        <v>0</v>
      </c>
      <c r="H14" s="523">
        <v>1</v>
      </c>
      <c r="I14" s="524">
        <v>1</v>
      </c>
      <c r="J14" s="523">
        <v>1</v>
      </c>
      <c r="K14" s="535">
        <f>'Plan Estratégico  2022  FINAL'!BI17</f>
        <v>1</v>
      </c>
      <c r="L14" s="536">
        <f>'Plan Estratégico  2022  FINAL'!BM17</f>
        <v>0.25</v>
      </c>
      <c r="M14" s="727"/>
      <c r="N14" s="727"/>
      <c r="O14" s="727"/>
      <c r="P14" s="528">
        <v>1</v>
      </c>
      <c r="Q14" s="529"/>
      <c r="R14" s="523">
        <v>1</v>
      </c>
      <c r="S14" s="529"/>
      <c r="T14" s="529"/>
    </row>
    <row r="15" spans="1:23" s="518" customFormat="1" ht="45" customHeight="1" x14ac:dyDescent="0.2">
      <c r="A15" s="735" t="s">
        <v>0</v>
      </c>
      <c r="B15" s="387">
        <v>0.25</v>
      </c>
      <c r="C15" s="387"/>
      <c r="D15" s="493" t="s">
        <v>242</v>
      </c>
      <c r="E15" s="557" t="s">
        <v>405</v>
      </c>
      <c r="F15" s="537" t="s">
        <v>294</v>
      </c>
      <c r="G15" s="537" t="s">
        <v>294</v>
      </c>
      <c r="H15" s="537" t="s">
        <v>295</v>
      </c>
      <c r="I15" s="524">
        <v>1.75</v>
      </c>
      <c r="J15" s="538">
        <v>1</v>
      </c>
      <c r="K15" s="525">
        <v>1.1499999999999999</v>
      </c>
      <c r="L15" s="526">
        <v>0.28999999999999998</v>
      </c>
      <c r="M15" s="726">
        <f>AVERAGE(K15:K17)</f>
        <v>1.1499999999999999</v>
      </c>
      <c r="N15" s="726">
        <f>AVERAGE(L15:L17)</f>
        <v>0.28999999999999998</v>
      </c>
      <c r="O15" s="726">
        <f>AVERAGE( AVERAGE(I15:I17), AVERAGE(L15))</f>
        <v>0.4916666666666667</v>
      </c>
      <c r="P15" s="539" t="s">
        <v>296</v>
      </c>
      <c r="Q15" s="537" t="s">
        <v>294</v>
      </c>
      <c r="R15" s="537" t="s">
        <v>296</v>
      </c>
      <c r="S15" s="529"/>
      <c r="T15" s="529"/>
    </row>
    <row r="16" spans="1:23" s="518" customFormat="1" ht="45" customHeight="1" x14ac:dyDescent="0.2">
      <c r="A16" s="736"/>
      <c r="B16" s="387">
        <v>0.25</v>
      </c>
      <c r="C16" s="387"/>
      <c r="D16" s="493" t="s">
        <v>244</v>
      </c>
      <c r="E16" s="557" t="s">
        <v>377</v>
      </c>
      <c r="F16" s="537" t="s">
        <v>297</v>
      </c>
      <c r="G16" s="537">
        <v>0</v>
      </c>
      <c r="H16" s="537" t="s">
        <v>298</v>
      </c>
      <c r="I16" s="540">
        <v>0.33</v>
      </c>
      <c r="J16" s="537" t="s">
        <v>420</v>
      </c>
      <c r="K16" s="525" t="s">
        <v>419</v>
      </c>
      <c r="L16" s="541" t="s">
        <v>419</v>
      </c>
      <c r="M16" s="727"/>
      <c r="N16" s="726"/>
      <c r="O16" s="726"/>
      <c r="P16" s="539" t="s">
        <v>299</v>
      </c>
      <c r="Q16" s="537" t="s">
        <v>299</v>
      </c>
      <c r="R16" s="537" t="s">
        <v>300</v>
      </c>
      <c r="S16" s="529"/>
      <c r="T16" s="529"/>
    </row>
    <row r="17" spans="1:20" s="518" customFormat="1" ht="45" customHeight="1" x14ac:dyDescent="0.2">
      <c r="A17" s="736"/>
      <c r="B17" s="387">
        <v>0.25</v>
      </c>
      <c r="C17" s="387"/>
      <c r="D17" s="493" t="s">
        <v>243</v>
      </c>
      <c r="E17" s="557" t="s">
        <v>384</v>
      </c>
      <c r="F17" s="537" t="s">
        <v>301</v>
      </c>
      <c r="G17" s="537" t="s">
        <v>301</v>
      </c>
      <c r="H17" s="537">
        <v>200</v>
      </c>
      <c r="I17" s="540">
        <v>0</v>
      </c>
      <c r="J17" s="537">
        <v>200</v>
      </c>
      <c r="K17" s="525" t="s">
        <v>419</v>
      </c>
      <c r="L17" s="541" t="s">
        <v>419</v>
      </c>
      <c r="M17" s="727"/>
      <c r="N17" s="726"/>
      <c r="O17" s="726"/>
      <c r="P17" s="539" t="s">
        <v>302</v>
      </c>
      <c r="Q17" s="537" t="s">
        <v>303</v>
      </c>
      <c r="R17" s="537"/>
      <c r="S17" s="529"/>
      <c r="T17" s="529"/>
    </row>
    <row r="18" spans="1:20" s="518" customFormat="1" ht="44.25" customHeight="1" x14ac:dyDescent="0.2">
      <c r="A18" s="492" t="s">
        <v>26</v>
      </c>
      <c r="B18" s="387">
        <v>1</v>
      </c>
      <c r="C18" s="387"/>
      <c r="D18" s="493" t="s">
        <v>426</v>
      </c>
      <c r="E18" s="558" t="s">
        <v>412</v>
      </c>
      <c r="F18" s="538">
        <v>0</v>
      </c>
      <c r="G18" s="538">
        <v>0</v>
      </c>
      <c r="H18" s="538">
        <v>1</v>
      </c>
      <c r="I18" s="524">
        <v>1.1200000000000001</v>
      </c>
      <c r="J18" s="538">
        <v>1</v>
      </c>
      <c r="K18" s="538">
        <v>1</v>
      </c>
      <c r="L18" s="542">
        <v>0.25</v>
      </c>
      <c r="M18" s="527">
        <f>K18</f>
        <v>1</v>
      </c>
      <c r="N18" s="527">
        <f>L14</f>
        <v>0.25</v>
      </c>
      <c r="O18" s="527">
        <f>AVERAGE(I18,N18)</f>
        <v>0.68500000000000005</v>
      </c>
      <c r="P18" s="543">
        <v>1</v>
      </c>
      <c r="Q18" s="538">
        <v>1</v>
      </c>
      <c r="R18" s="538">
        <v>1</v>
      </c>
      <c r="S18" s="529"/>
      <c r="T18" s="529"/>
    </row>
    <row r="19" spans="1:20" s="518" customFormat="1" ht="75.75" customHeight="1" x14ac:dyDescent="0.2">
      <c r="A19" s="493" t="s">
        <v>29</v>
      </c>
      <c r="B19" s="387">
        <v>1</v>
      </c>
      <c r="C19" s="387"/>
      <c r="D19" s="493" t="s">
        <v>246</v>
      </c>
      <c r="E19" s="557" t="s">
        <v>403</v>
      </c>
      <c r="F19" s="538">
        <v>0</v>
      </c>
      <c r="G19" s="538">
        <v>0</v>
      </c>
      <c r="H19" s="538">
        <v>1</v>
      </c>
      <c r="I19" s="524">
        <v>1</v>
      </c>
      <c r="J19" s="538">
        <v>1</v>
      </c>
      <c r="K19" s="525" t="s">
        <v>419</v>
      </c>
      <c r="L19" s="541" t="s">
        <v>419</v>
      </c>
      <c r="M19" s="544" t="s">
        <v>462</v>
      </c>
      <c r="N19" s="544"/>
      <c r="O19" s="527">
        <f>J19</f>
        <v>1</v>
      </c>
      <c r="P19" s="543">
        <v>1</v>
      </c>
      <c r="Q19" s="538">
        <v>1</v>
      </c>
      <c r="R19" s="538">
        <v>1</v>
      </c>
      <c r="S19" s="529"/>
      <c r="T19" s="529"/>
    </row>
    <row r="20" spans="1:20" s="518" customFormat="1" ht="75.75" customHeight="1" x14ac:dyDescent="0.2">
      <c r="A20" s="493" t="s">
        <v>1</v>
      </c>
      <c r="B20" s="513">
        <v>1</v>
      </c>
      <c r="C20" s="513"/>
      <c r="D20" s="493" t="s">
        <v>247</v>
      </c>
      <c r="E20" s="557" t="s">
        <v>187</v>
      </c>
      <c r="F20" s="538">
        <v>1</v>
      </c>
      <c r="G20" s="538">
        <v>1</v>
      </c>
      <c r="H20" s="538">
        <v>1</v>
      </c>
      <c r="I20" s="524">
        <v>1</v>
      </c>
      <c r="J20" s="538">
        <v>1</v>
      </c>
      <c r="K20" s="525">
        <v>1</v>
      </c>
      <c r="L20" s="541">
        <v>1</v>
      </c>
      <c r="M20" s="527">
        <v>1</v>
      </c>
      <c r="N20" s="527">
        <v>0.25</v>
      </c>
      <c r="O20" s="527">
        <f>AVERAGE(I20:L20)</f>
        <v>1</v>
      </c>
      <c r="P20" s="543">
        <v>1</v>
      </c>
      <c r="Q20" s="538">
        <v>1</v>
      </c>
      <c r="R20" s="538">
        <v>1</v>
      </c>
      <c r="S20" s="529"/>
      <c r="T20" s="529"/>
    </row>
    <row r="21" spans="1:20" x14ac:dyDescent="0.25">
      <c r="I21" s="240"/>
      <c r="L21" s="240"/>
    </row>
    <row r="22" spans="1:20" x14ac:dyDescent="0.25">
      <c r="D22" s="288"/>
      <c r="E22" s="288"/>
    </row>
    <row r="23" spans="1:20" x14ac:dyDescent="0.25">
      <c r="D23" s="288"/>
      <c r="E23" s="288"/>
    </row>
    <row r="24" spans="1:20" x14ac:dyDescent="0.25">
      <c r="D24" s="288"/>
      <c r="E24" s="288"/>
    </row>
  </sheetData>
  <sheetProtection algorithmName="SHA-512" hashValue="h5g4mMGGYknP7ED1eEpDI7Ud4au/d89SGcmCIaou56EvUsY9e/+7oJqaKLHHL/pRrxbnGHPvOhEasfT2pbsgLw==" saltValue="Xnwng3j1nzWLy3KoOOuOhw==" spinCount="100000" sheet="1" objects="1" scenarios="1" formatCells="0" formatColumns="0"/>
  <mergeCells count="28">
    <mergeCell ref="A15:A17"/>
    <mergeCell ref="F1:G2"/>
    <mergeCell ref="H1:I2"/>
    <mergeCell ref="A13:A14"/>
    <mergeCell ref="T1:U2"/>
    <mergeCell ref="P1:Q2"/>
    <mergeCell ref="R1:S2"/>
    <mergeCell ref="A1:D2"/>
    <mergeCell ref="A5:A12"/>
    <mergeCell ref="D8:D10"/>
    <mergeCell ref="D5:D6"/>
    <mergeCell ref="J1:L2"/>
    <mergeCell ref="M5:M12"/>
    <mergeCell ref="M15:M17"/>
    <mergeCell ref="M1:M3"/>
    <mergeCell ref="N1:N3"/>
    <mergeCell ref="B5:B6"/>
    <mergeCell ref="B8:B10"/>
    <mergeCell ref="N5:N12"/>
    <mergeCell ref="N15:N17"/>
    <mergeCell ref="O1:O3"/>
    <mergeCell ref="O5:O12"/>
    <mergeCell ref="O15:O17"/>
    <mergeCell ref="M13:M14"/>
    <mergeCell ref="N13:N14"/>
    <mergeCell ref="O13:O14"/>
    <mergeCell ref="V5:V6"/>
    <mergeCell ref="W5:W6"/>
  </mergeCells>
  <dataValidations count="1">
    <dataValidation allowBlank="1" showInputMessage="1" showErrorMessage="1" prompt="Registre las actividades macro que se requieren para cumplir las metas" sqref="F8:G10" xr:uid="{30BD6842-F492-4D58-B138-969B965115F2}"/>
  </dataValidations>
  <pageMargins left="0.7" right="0.7" top="0.75" bottom="0.75" header="0.3" footer="0.3"/>
  <pageSetup orientation="portrait" r:id="rId1"/>
  <ignoredErrors>
    <ignoredError sqref="O13 O20 O1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vt:i4>
      </vt:variant>
    </vt:vector>
  </HeadingPairs>
  <TitlesOfParts>
    <vt:vector size="17" baseType="lpstr">
      <vt:lpstr>Plan Estratégico Institucio (2)</vt:lpstr>
      <vt:lpstr>Plan Estratégico  2022  FINAL</vt:lpstr>
      <vt:lpstr>Plan Estratégico  2022</vt:lpstr>
      <vt:lpstr>Hoja2</vt:lpstr>
      <vt:lpstr>Hoja1</vt:lpstr>
      <vt:lpstr>Plan Estratégico Institucional</vt:lpstr>
      <vt:lpstr>Hoja5</vt:lpstr>
      <vt:lpstr>OBJ ESTR</vt:lpstr>
      <vt:lpstr>Cumplimiento Metas Estrategicas</vt:lpstr>
      <vt:lpstr>Resumen de  informe</vt:lpstr>
      <vt:lpstr>Cumplimiento Metas Estrateg (2)</vt:lpstr>
      <vt:lpstr>Grado Cumplimiento Objetivos</vt:lpstr>
      <vt:lpstr>Hoja3</vt:lpstr>
      <vt:lpstr>Grado Cumplimiento Metas Estrat</vt:lpstr>
      <vt:lpstr>Hoja4</vt:lpstr>
      <vt:lpstr>Resumen PEI</vt:lpstr>
      <vt:lpstr>'Resumen PEI'!Títulos_a_imprimir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DellVostro</cp:lastModifiedBy>
  <cp:lastPrinted>2021-05-18T13:36:27Z</cp:lastPrinted>
  <dcterms:created xsi:type="dcterms:W3CDTF">2021-05-03T00:16:26Z</dcterms:created>
  <dcterms:modified xsi:type="dcterms:W3CDTF">2022-04-29T19:05:31Z</dcterms:modified>
</cp:coreProperties>
</file>